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3040" windowHeight="9192" tabRatio="874"/>
  </bookViews>
  <sheets>
    <sheet name="QB" sheetId="1" r:id="rId1"/>
    <sheet name="Прайс" sheetId="2" state="hidden" r:id="rId2"/>
  </sheets>
  <definedNames>
    <definedName name="_xlnm.Print_Area" localSheetId="0">QB!$B$2:$M$34</definedName>
  </definedNames>
  <calcPr calcId="162913" concurrentCalc="0"/>
</workbook>
</file>

<file path=xl/calcChain.xml><?xml version="1.0" encoding="utf-8"?>
<calcChain xmlns="http://schemas.openxmlformats.org/spreadsheetml/2006/main">
  <c r="M21" i="1" l="1"/>
  <c r="M16" i="1"/>
  <c r="M11" i="1"/>
  <c r="M8" i="1"/>
  <c r="K35" i="1"/>
  <c r="C23" i="1"/>
  <c r="C19" i="1"/>
  <c r="K16" i="1"/>
  <c r="L9" i="1"/>
  <c r="L21" i="1"/>
  <c r="L8" i="1"/>
  <c r="L15" i="1"/>
  <c r="L20" i="1"/>
  <c r="L19" i="1"/>
  <c r="L18" i="1"/>
  <c r="K20" i="1"/>
  <c r="K19" i="1"/>
  <c r="K18" i="1"/>
  <c r="L17" i="1"/>
  <c r="K17" i="1"/>
  <c r="L16" i="1"/>
  <c r="G20" i="1"/>
  <c r="K15" i="1"/>
  <c r="F20" i="1"/>
  <c r="L14" i="1"/>
  <c r="E20" i="1"/>
  <c r="K13" i="1"/>
  <c r="D20" i="1"/>
  <c r="K12" i="1"/>
  <c r="C20" i="1"/>
  <c r="K8" i="1"/>
  <c r="K9" i="1"/>
  <c r="K29" i="1"/>
  <c r="K24" i="1"/>
  <c r="K10" i="1"/>
  <c r="L10" i="1"/>
  <c r="L11" i="1"/>
  <c r="L12" i="1"/>
  <c r="L13" i="1"/>
  <c r="K25" i="1"/>
  <c r="K34" i="1"/>
  <c r="K31" i="1"/>
  <c r="K21" i="1"/>
  <c r="K28" i="1"/>
  <c r="K14" i="1"/>
  <c r="K11" i="1"/>
  <c r="K27" i="1"/>
  <c r="K33" i="1"/>
  <c r="K30" i="1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4" i="2"/>
  <c r="K26" i="1"/>
  <c r="K32" i="1"/>
  <c r="E4" i="2"/>
  <c r="E33" i="2"/>
  <c r="E32" i="2"/>
  <c r="E31" i="2"/>
  <c r="E30" i="2"/>
  <c r="E28" i="2"/>
  <c r="E27" i="2"/>
  <c r="E26" i="2"/>
  <c r="E25" i="2"/>
  <c r="E24" i="2"/>
  <c r="E23" i="2"/>
  <c r="E22" i="2"/>
  <c r="E21" i="2"/>
  <c r="E20" i="2"/>
  <c r="E18" i="2"/>
  <c r="E17" i="2"/>
  <c r="E16" i="2"/>
  <c r="E15" i="2"/>
  <c r="E14" i="2"/>
  <c r="E13" i="2"/>
  <c r="E12" i="2"/>
  <c r="E11" i="2"/>
  <c r="E10" i="2"/>
  <c r="E9" i="2"/>
  <c r="E7" i="2"/>
  <c r="E6" i="2"/>
  <c r="E5" i="2"/>
</calcChain>
</file>

<file path=xl/sharedStrings.xml><?xml version="1.0" encoding="utf-8"?>
<sst xmlns="http://schemas.openxmlformats.org/spreadsheetml/2006/main" count="180" uniqueCount="141">
  <si>
    <t>размер</t>
  </si>
  <si>
    <t>количество</t>
  </si>
  <si>
    <t>Фурнитура:</t>
  </si>
  <si>
    <t>РЕЗУЛЬТАТ РАСЧЁТА</t>
  </si>
  <si>
    <t>ВВОД ИСХОДНЫХ ДАННЫХ ДЛЯ РАСЧЁТА</t>
  </si>
  <si>
    <t>артикул</t>
  </si>
  <si>
    <t>Кол-во хлыстов</t>
  </si>
  <si>
    <t>Кол-во деталей</t>
  </si>
  <si>
    <t>Количество секций</t>
  </si>
  <si>
    <t>Секция 1</t>
  </si>
  <si>
    <t>Ширина секции</t>
  </si>
  <si>
    <t>Секция 2</t>
  </si>
  <si>
    <t>Секция 3</t>
  </si>
  <si>
    <t>Секция 4</t>
  </si>
  <si>
    <t>Секция 5</t>
  </si>
  <si>
    <t>Ширина конструкции</t>
  </si>
  <si>
    <t>Глубина конструкции</t>
  </si>
  <si>
    <t>SA0196.VP540.SLMAN.CJ</t>
  </si>
  <si>
    <t>SA0195.VP540.SLMAN.CJ</t>
  </si>
  <si>
    <t>SA0199.VP540.SLMAN.CJ</t>
  </si>
  <si>
    <t>SA0198.VP540.SLMAN.CJ</t>
  </si>
  <si>
    <t>SA0196.VP540.BKSPC.CJ</t>
  </si>
  <si>
    <t>SA0195.VP540.BKSPC.CJ</t>
  </si>
  <si>
    <t>SA0702.VP540.BKSPC.CJ</t>
  </si>
  <si>
    <t>SA0198.VP540.BKSPC.CJ</t>
  </si>
  <si>
    <t>Ценовая группа/ Номенклатура/ Характеристика номенклатуры</t>
  </si>
  <si>
    <t xml:space="preserve">Номенклатура.Артикул </t>
  </si>
  <si>
    <t>ОПТОВАЯ от 12.04.2021</t>
  </si>
  <si>
    <t>АРИСТО (-40%)</t>
  </si>
  <si>
    <t>Цена</t>
  </si>
  <si>
    <t>Ед.</t>
  </si>
  <si>
    <t>шт</t>
  </si>
  <si>
    <t>компл</t>
  </si>
  <si>
    <t xml:space="preserve">        Стеллаж матовый хром</t>
  </si>
  <si>
    <t xml:space="preserve">            Полкодержатель, Серебро матовое</t>
  </si>
  <si>
    <t xml:space="preserve">            Профиль несущий, Серебро матовое</t>
  </si>
  <si>
    <t xml:space="preserve">            Штанга для обуви, Серебро матовое</t>
  </si>
  <si>
    <t xml:space="preserve">            Штанга, Серебро матовое</t>
  </si>
  <si>
    <t xml:space="preserve">        Стеллаж Фурнитура, матовый хром </t>
  </si>
  <si>
    <t xml:space="preserve">            Держатель штанги для обуви, Серебро матовое</t>
  </si>
  <si>
    <t>SA0026.AP000.SLMPC.CY</t>
  </si>
  <si>
    <t xml:space="preserve">            Заглушка несущего профиля, Серебро матовое</t>
  </si>
  <si>
    <t>SA0030.VP000.SLM00.CY</t>
  </si>
  <si>
    <t xml:space="preserve">            Заглушки полкодержателя, Серебро матовое</t>
  </si>
  <si>
    <t>SA0022.VR000.SLMPC.CY</t>
  </si>
  <si>
    <t xml:space="preserve">            Заглушки штанги для обуви, Серебро матовое</t>
  </si>
  <si>
    <t>SA0262.AR000.SLM00.CY</t>
  </si>
  <si>
    <t xml:space="preserve">            Крепление полкодержателя, Серебро матовое</t>
  </si>
  <si>
    <t>SA0023.VP000.SLMPC.CY</t>
  </si>
  <si>
    <t xml:space="preserve">            Крепление стеновое, Серебро матовое</t>
  </si>
  <si>
    <t>SA0032.VP000.SLMPC.CY</t>
  </si>
  <si>
    <t xml:space="preserve">            Ножка регулируемая, Серебро матовое</t>
  </si>
  <si>
    <t>SA0020.VP000.SLMPC.CY</t>
  </si>
  <si>
    <t xml:space="preserve">            Соединитель 90° несущего профиля, Серебро матовое</t>
  </si>
  <si>
    <t>SA0029.VP000.SLMPC.CY</t>
  </si>
  <si>
    <t xml:space="preserve">            Уплотнитель для штанги, серый (100 м)</t>
  </si>
  <si>
    <t>SA0033.VM100.GR000.RK</t>
  </si>
  <si>
    <t>м</t>
  </si>
  <si>
    <t xml:space="preserve">            Штангодержатель, Серебро матовое</t>
  </si>
  <si>
    <t>SA0021.VP000.SLMPC.CY</t>
  </si>
  <si>
    <t xml:space="preserve">        Стеллаж Фурнитура, черный </t>
  </si>
  <si>
    <t xml:space="preserve">            Держатель штанги для обуви, Чёрный матовый</t>
  </si>
  <si>
    <t>SA0026.AP000.BKSPC.CY</t>
  </si>
  <si>
    <t xml:space="preserve">            Заглушка несущего профиля, Чёрный матовый</t>
  </si>
  <si>
    <t>SA0030.VP000.BKM00.CY</t>
  </si>
  <si>
    <t xml:space="preserve">            Заглушки полкодержателя, Чёрный матовый</t>
  </si>
  <si>
    <t>SA0022.VR000.BKSPC.CY</t>
  </si>
  <si>
    <t xml:space="preserve">            Заглушки штанги для обуви, Чёрный матовый</t>
  </si>
  <si>
    <t>SA0262.AR000.BKM00.CY</t>
  </si>
  <si>
    <t xml:space="preserve">            Крепление полкодержателя, Чёрный матовый</t>
  </si>
  <si>
    <t>SA0023.VP000.BKSPC.CY</t>
  </si>
  <si>
    <t xml:space="preserve">            Крепление стеновое, Чёрный матовый</t>
  </si>
  <si>
    <t>SA0032.VP000.BKSPC.CY</t>
  </si>
  <si>
    <t xml:space="preserve">            Ножка регулируемая, Чёрный матовый</t>
  </si>
  <si>
    <t>SA0020.VP000.BKSPC.CY</t>
  </si>
  <si>
    <t xml:space="preserve">            Соединитель 90° несущего профиля, Чёрный матовый</t>
  </si>
  <si>
    <t>SA0029.VP000.BKSPC.CY</t>
  </si>
  <si>
    <t xml:space="preserve">            Штангодержатель, Чёрный матовый</t>
  </si>
  <si>
    <t>SA0021.VP000.BKSPC.CY</t>
  </si>
  <si>
    <t xml:space="preserve">        Стеллаж черный матовый </t>
  </si>
  <si>
    <t xml:space="preserve">            Полкодержатель, Чёрный матовый</t>
  </si>
  <si>
    <t xml:space="preserve">            Профиль несущий, Чёрный матовый</t>
  </si>
  <si>
    <t xml:space="preserve">            Штанга для обуви 702, Чёрный матовый</t>
  </si>
  <si>
    <t xml:space="preserve">            Штанга, Чёрный матовый</t>
  </si>
  <si>
    <t>Раскрой деталей:</t>
  </si>
  <si>
    <t>Коэффициент</t>
  </si>
  <si>
    <t>Стоимость с учетом коэффициента</t>
  </si>
  <si>
    <t>Высота конструкции</t>
  </si>
  <si>
    <t>Количество полок по высоте, включая верхнюю</t>
  </si>
  <si>
    <t>Кол-во полок со стеклом</t>
  </si>
  <si>
    <t>Кол-во полок ЛДСП</t>
  </si>
  <si>
    <t>Высота цокольной базы (не менее 60 мм)</t>
  </si>
  <si>
    <t>да</t>
  </si>
  <si>
    <t>нет</t>
  </si>
  <si>
    <t>Цокольная база</t>
  </si>
  <si>
    <t>Свет на тыльных крайних стойках</t>
  </si>
  <si>
    <t>Высота секции</t>
  </si>
  <si>
    <t>Расчет системы QB</t>
  </si>
  <si>
    <t>Профиль базовый (вертикальный)</t>
  </si>
  <si>
    <t>Профиль базовый (перемычка)</t>
  </si>
  <si>
    <t>Профиль базовый (цокольная база)</t>
  </si>
  <si>
    <t>Профиль под стекло секция 1</t>
  </si>
  <si>
    <t>Профиль под ЛДСП секция 1</t>
  </si>
  <si>
    <t>Профиль под ЛДСП секция 2</t>
  </si>
  <si>
    <t>Профиль под ЛДСП секция 3</t>
  </si>
  <si>
    <t>Профиль под ЛДСП секция 4</t>
  </si>
  <si>
    <t>Профиль под ЛДСП секция 5</t>
  </si>
  <si>
    <t>Профиль под стекло секция 2</t>
  </si>
  <si>
    <t>Профиль под стекло секция 3</t>
  </si>
  <si>
    <t>Профиль под стекло секция 4</t>
  </si>
  <si>
    <t>Профиль под стекло секция 5</t>
  </si>
  <si>
    <t>Профиль с пазом</t>
  </si>
  <si>
    <t>QB0786.VP540</t>
  </si>
  <si>
    <t>QB0816.VP540</t>
  </si>
  <si>
    <t>QB0815.VP540</t>
  </si>
  <si>
    <t>QB0814.VP540</t>
  </si>
  <si>
    <t>Соединитель универсальный</t>
  </si>
  <si>
    <t>QB0004.VP000</t>
  </si>
  <si>
    <t>Фиксатор</t>
  </si>
  <si>
    <t>QB0005.VP000</t>
  </si>
  <si>
    <t>Шток</t>
  </si>
  <si>
    <t>QB0001.VP000</t>
  </si>
  <si>
    <t>Винт</t>
  </si>
  <si>
    <t>QB0608.VP000</t>
  </si>
  <si>
    <t>Фиксатор LED</t>
  </si>
  <si>
    <t>Регулируемая ножка</t>
  </si>
  <si>
    <t>QB1915.VP000</t>
  </si>
  <si>
    <t>Рассеиватель</t>
  </si>
  <si>
    <t>QB0075.VP270</t>
  </si>
  <si>
    <t>Заглушка профиля</t>
  </si>
  <si>
    <t>QB0003.VP000</t>
  </si>
  <si>
    <t>Заглушка соединителя</t>
  </si>
  <si>
    <t>QB0002.VP000</t>
  </si>
  <si>
    <t>Заглушка винта</t>
  </si>
  <si>
    <t>Подпятник самоклеящийся (40 штук в комплекте)</t>
  </si>
  <si>
    <t>QB0008.VP000</t>
  </si>
  <si>
    <t>QB0007.VP000</t>
  </si>
  <si>
    <t>QB0005.AP000</t>
  </si>
  <si>
    <t>Заглушка дюбеля</t>
  </si>
  <si>
    <t>QB0006.VP000</t>
  </si>
  <si>
    <t>Укажите количество заглушек дюбеля для навесной конструкции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</si>
</sst>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&quot; мм&quot;"/>
    <numFmt numFmtId="165" formatCode="#,##0&quot; шт.&quot;"/>
    <numFmt numFmtId="166" formatCode="0.00&quot; руб.&quot;"/>
    <numFmt numFmtId="167" formatCode="#,##0.00&quot; руб.&quot;"/>
  </numFmts>
  <fonts count="9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20"/>
      <color theme="1"/>
      <name val="Candara"/>
      <family val="2"/>
      <charset val="204"/>
    </font>
    <font>
      <sz val="14"/>
      <name val="Calibri"/>
      <family val="2"/>
      <charset val="204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164" fontId="2" fillId="0" borderId="1" xfId="0" applyNumberFormat="1" applyFont="1" applyBorder="1" applyAlignment="1" applyProtection="1">
      <alignment horizontal="center" vertical="center"/>
    </xf>
    <xf numFmtId="14" fontId="1" fillId="0" borderId="0" xfId="0" applyNumberFormat="1" applyFont="1" applyAlignment="1" applyProtection="1">
      <alignment horizontal="left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Protection="1"/>
    <xf numFmtId="0" fontId="1" fillId="0" borderId="0" xfId="0" applyFont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0" fontId="0" fillId="0" borderId="0" xfId="0" applyFill="1" applyBorder="1" applyAlignment="1" applyProtection="1">
      <alignment vertical="center" wrapText="1"/>
    </xf>
    <xf numFmtId="0" fontId="1" fillId="0" borderId="0" xfId="0" applyFont="1" applyFill="1" applyProtection="1"/>
    <xf numFmtId="0" fontId="2" fillId="0" borderId="0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left" vertical="center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 wrapText="1"/>
    </xf>
    <xf numFmtId="0" fontId="1" fillId="0" borderId="0" xfId="0" applyFont="1" applyFill="1" applyBorder="1" applyAlignment="1" applyProtection="1">
      <alignment vertical="center"/>
    </xf>
    <xf numFmtId="165" fontId="2" fillId="3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vertical="center"/>
    </xf>
    <xf numFmtId="0" fontId="3" fillId="2" borderId="1" xfId="0" applyFont="1" applyFill="1" applyBorder="1" applyAlignment="1" applyProtection="1">
      <alignment horizontal="left" vertical="center"/>
    </xf>
    <xf numFmtId="0" fontId="6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/>
    </xf>
    <xf numFmtId="0" fontId="6" fillId="0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vertical="center"/>
    </xf>
    <xf numFmtId="165" fontId="8" fillId="0" borderId="1" xfId="0" applyNumberFormat="1" applyFont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center" vertical="center"/>
    </xf>
    <xf numFmtId="165" fontId="2" fillId="0" borderId="1" xfId="0" applyNumberFormat="1" applyFont="1" applyFill="1" applyBorder="1" applyAlignment="1" applyProtection="1">
      <alignment horizontal="center" vertical="center"/>
    </xf>
    <xf numFmtId="165" fontId="8" fillId="0" borderId="1" xfId="0" applyNumberFormat="1" applyFont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167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164" fontId="4" fillId="2" borderId="1" xfId="0" applyNumberFormat="1" applyFont="1" applyFill="1" applyBorder="1" applyAlignment="1" applyProtection="1">
      <alignment horizontal="center" vertical="center" wrapText="1"/>
    </xf>
    <xf numFmtId="0" fontId="0" fillId="3" borderId="1" xfId="0" applyFill="1" applyBorder="1"/>
    <xf numFmtId="0" fontId="0" fillId="6" borderId="4" xfId="0" applyFill="1" applyBorder="1" applyAlignment="1">
      <alignment horizontal="center" vertical="center"/>
    </xf>
    <xf numFmtId="0" fontId="1" fillId="0" borderId="2" xfId="0" applyFont="1" applyFill="1" applyBorder="1" applyAlignment="1" applyProtection="1">
      <alignment vertical="center"/>
    </xf>
    <xf numFmtId="165" fontId="2" fillId="0" borderId="1" xfId="0" applyNumberFormat="1" applyFont="1" applyBorder="1" applyAlignment="1" applyProtection="1">
      <alignment horizontal="center" vertical="center"/>
    </xf>
    <xf numFmtId="0" fontId="1" fillId="0" borderId="1" xfId="0" applyFont="1" applyBorder="1" applyProtection="1"/>
    <xf numFmtId="0" fontId="1" fillId="0" borderId="1" xfId="0" applyFont="1" applyBorder="1" applyAlignment="1" applyProtection="1">
      <alignment horizontal="center"/>
    </xf>
    <xf numFmtId="0" fontId="1" fillId="0" borderId="0" xfId="0" applyFont="1" applyAlignment="1" applyProtection="1"/>
    <xf numFmtId="165" fontId="2" fillId="0" borderId="1" xfId="0" applyNumberFormat="1" applyFont="1" applyBorder="1" applyAlignment="1" applyProtection="1">
      <alignment horizontal="center"/>
    </xf>
    <xf numFmtId="3" fontId="2" fillId="0" borderId="1" xfId="0" applyNumberFormat="1" applyFont="1" applyFill="1" applyBorder="1" applyAlignment="1" applyProtection="1">
      <alignment horizontal="center" vertical="center"/>
    </xf>
    <xf numFmtId="165" fontId="2" fillId="0" borderId="6" xfId="0" applyNumberFormat="1" applyFont="1" applyBorder="1" applyAlignment="1" applyProtection="1">
      <alignment horizontal="center" vertical="center"/>
    </xf>
    <xf numFmtId="165" fontId="2" fillId="0" borderId="7" xfId="0" applyNumberFormat="1" applyFont="1" applyBorder="1" applyAlignment="1" applyProtection="1">
      <alignment horizontal="center" vertical="center"/>
    </xf>
    <xf numFmtId="165" fontId="2" fillId="0" borderId="8" xfId="0" applyNumberFormat="1" applyFont="1" applyBorder="1" applyAlignment="1" applyProtection="1">
      <alignment horizontal="center" vertical="center"/>
    </xf>
    <xf numFmtId="165" fontId="2" fillId="0" borderId="6" xfId="0" applyNumberFormat="1" applyFont="1" applyBorder="1" applyAlignment="1" applyProtection="1">
      <alignment horizontal="center" vertical="center" wrapText="1"/>
    </xf>
    <xf numFmtId="165" fontId="2" fillId="0" borderId="7" xfId="0" applyNumberFormat="1" applyFont="1" applyBorder="1" applyAlignment="1" applyProtection="1">
      <alignment horizontal="center" vertical="center" wrapText="1"/>
    </xf>
    <xf numFmtId="165" fontId="2" fillId="0" borderId="8" xfId="0" applyNumberFormat="1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left" vertical="top"/>
    </xf>
    <xf numFmtId="0" fontId="1" fillId="0" borderId="5" xfId="0" applyFont="1" applyBorder="1" applyAlignment="1" applyProtection="1">
      <alignment horizontal="left" vertical="top"/>
    </xf>
    <xf numFmtId="0" fontId="1" fillId="0" borderId="3" xfId="0" applyFont="1" applyBorder="1" applyAlignment="1" applyProtection="1">
      <alignment horizontal="left" vertical="top"/>
    </xf>
    <xf numFmtId="0" fontId="2" fillId="3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vertical="center"/>
    </xf>
    <xf numFmtId="0" fontId="1" fillId="0" borderId="5" xfId="0" applyFont="1" applyFill="1" applyBorder="1" applyAlignment="1" applyProtection="1">
      <alignment vertical="center"/>
    </xf>
    <xf numFmtId="0" fontId="1" fillId="0" borderId="3" xfId="0" applyFont="1" applyFill="1" applyBorder="1" applyAlignment="1" applyProtection="1">
      <alignment vertical="center"/>
    </xf>
    <xf numFmtId="165" fontId="2" fillId="3" borderId="1" xfId="0" applyNumberFormat="1" applyFont="1" applyFill="1" applyBorder="1" applyAlignment="1" applyProtection="1">
      <alignment horizontal="center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0" fillId="4" borderId="2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left" vertical="center"/>
    </xf>
    <xf numFmtId="0" fontId="0" fillId="5" borderId="1" xfId="0" applyFill="1" applyBorder="1" applyAlignment="1">
      <alignment horizontal="center" vertical="center"/>
    </xf>
  </cellXfs>
  <cellStyles count="1">
    <cellStyle name="Обычный" xfId="0" builtinId="0"/>
  </cellStyles>
  <dxfs count="9">
    <dxf>
      <font>
        <color theme="0"/>
      </font>
      <fill>
        <patternFill>
          <bgColor theme="0"/>
        </patternFill>
      </fill>
      <border>
        <vertical/>
        <horizontal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947058</xdr:colOff>
      <xdr:row>36</xdr:row>
      <xdr:rowOff>185055</xdr:rowOff>
    </xdr:from>
    <xdr:to>
      <xdr:col>9</xdr:col>
      <xdr:colOff>1392444</xdr:colOff>
      <xdr:row>61</xdr:row>
      <xdr:rowOff>43540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42515" y="9067798"/>
          <a:ext cx="5692300" cy="5573485"/>
        </a:xfrm>
        <a:prstGeom prst="rect">
          <a:avLst/>
        </a:prstGeom>
      </xdr:spPr>
    </xdr:pic>
    <xdr:clientData/>
  </xdr:twoCellAnchor>
  <xdr:twoCellAnchor editAs="oneCell">
    <xdr:from>
      <xdr:col>1</xdr:col>
      <xdr:colOff>1698171</xdr:colOff>
      <xdr:row>36</xdr:row>
      <xdr:rowOff>217714</xdr:rowOff>
    </xdr:from>
    <xdr:to>
      <xdr:col>6</xdr:col>
      <xdr:colOff>129505</xdr:colOff>
      <xdr:row>61</xdr:row>
      <xdr:rowOff>10885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00" y="9100457"/>
          <a:ext cx="5419962" cy="55081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B1:R36"/>
  <sheetViews>
    <sheetView tabSelected="1" zoomScale="70" zoomScaleNormal="70" zoomScaleSheetLayoutView="70" workbookViewId="0">
      <selection activeCell="F7" sqref="F7:G7"/>
    </sheetView>
  </sheetViews>
  <sheetFormatPr defaultColWidth="9.109375" defaultRowHeight="18" x14ac:dyDescent="0.35"/>
  <cols>
    <col min="1" max="1" width="3" style="4" customWidth="1"/>
    <col min="2" max="2" width="43.44140625" style="4" customWidth="1"/>
    <col min="3" max="6" width="14.6640625" style="3" customWidth="1"/>
    <col min="7" max="7" width="16.44140625" style="3" customWidth="1"/>
    <col min="8" max="8" width="2.6640625" style="4" customWidth="1"/>
    <col min="9" max="9" width="57.33203125" style="4" customWidth="1"/>
    <col min="10" max="10" width="29.33203125" style="4" customWidth="1"/>
    <col min="11" max="11" width="16.6640625" style="4" customWidth="1"/>
    <col min="12" max="13" width="19.5546875" style="4" customWidth="1"/>
    <col min="14" max="14" width="21" style="4" hidden="1" customWidth="1"/>
    <col min="15" max="15" width="9.109375" style="4" customWidth="1"/>
    <col min="16" max="16" width="22" style="4" customWidth="1"/>
    <col min="17" max="17" width="9.109375" style="4" customWidth="1"/>
    <col min="18" max="16384" width="9.109375" style="4"/>
  </cols>
  <sheetData>
    <row r="1" spans="2:18" x14ac:dyDescent="0.35">
      <c r="B1" s="2"/>
    </row>
    <row r="2" spans="2:18" s="5" customFormat="1" ht="27.6" customHeight="1" x14ac:dyDescent="0.3">
      <c r="B2" s="63" t="s">
        <v>97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2:18" s="6" customFormat="1" ht="26.1" customHeight="1" x14ac:dyDescent="0.3"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spans="2:18" s="6" customFormat="1" ht="20.100000000000001" customHeight="1" x14ac:dyDescent="0.35">
      <c r="B4" s="7"/>
      <c r="C4" s="7"/>
      <c r="D4" s="7"/>
      <c r="E4" s="7"/>
      <c r="F4" s="7"/>
      <c r="G4" s="7"/>
      <c r="I4" s="8"/>
      <c r="J4" s="8"/>
      <c r="K4" s="8"/>
      <c r="L4" s="8"/>
    </row>
    <row r="5" spans="2:18" s="6" customFormat="1" ht="20.100000000000001" customHeight="1" x14ac:dyDescent="0.3">
      <c r="B5" s="64" t="s">
        <v>4</v>
      </c>
      <c r="C5" s="64"/>
      <c r="D5" s="64"/>
      <c r="E5" s="64"/>
      <c r="F5" s="64"/>
      <c r="G5" s="64"/>
      <c r="I5" s="64" t="s">
        <v>3</v>
      </c>
      <c r="J5" s="64"/>
      <c r="K5" s="64"/>
      <c r="L5" s="64"/>
      <c r="M5" s="64"/>
    </row>
    <row r="6" spans="2:18" s="5" customFormat="1" ht="20.100000000000001" customHeight="1" x14ac:dyDescent="0.3">
      <c r="B6" s="9"/>
      <c r="C6" s="9"/>
      <c r="D6" s="9"/>
      <c r="E6" s="9"/>
      <c r="F6" s="9"/>
      <c r="G6" s="9"/>
      <c r="H6" s="6"/>
      <c r="I6" s="9"/>
      <c r="J6" s="9"/>
      <c r="K6" s="9"/>
      <c r="L6" s="9"/>
    </row>
    <row r="7" spans="2:18" s="5" customFormat="1" ht="20.100000000000001" customHeight="1" x14ac:dyDescent="0.3">
      <c r="B7" s="58" t="s">
        <v>87</v>
      </c>
      <c r="C7" s="59"/>
      <c r="D7" s="59"/>
      <c r="E7" s="60"/>
      <c r="F7" s="62">
        <v>1000</v>
      </c>
      <c r="G7" s="62"/>
      <c r="I7" s="19" t="s">
        <v>84</v>
      </c>
      <c r="J7" s="20" t="s">
        <v>5</v>
      </c>
      <c r="K7" s="21" t="s">
        <v>0</v>
      </c>
      <c r="L7" s="22" t="s">
        <v>7</v>
      </c>
      <c r="M7" s="21" t="s">
        <v>6</v>
      </c>
    </row>
    <row r="8" spans="2:18" s="5" customFormat="1" ht="21.6" customHeight="1" x14ac:dyDescent="0.3">
      <c r="B8" s="58" t="s">
        <v>15</v>
      </c>
      <c r="C8" s="59"/>
      <c r="D8" s="59"/>
      <c r="E8" s="60"/>
      <c r="F8" s="62">
        <v>500</v>
      </c>
      <c r="G8" s="62"/>
      <c r="I8" s="23" t="s">
        <v>98</v>
      </c>
      <c r="J8" s="24" t="s">
        <v>112</v>
      </c>
      <c r="K8" s="27">
        <f>C23</f>
        <v>957</v>
      </c>
      <c r="L8" s="28">
        <f>(F10-1)*2*(F11+1)-L21</f>
        <v>4</v>
      </c>
      <c r="M8" s="51">
        <f>ROUNDUP(((K8*L8+K9*L9+K10*L10)/5350),0)</f>
        <v>1</v>
      </c>
      <c r="N8" s="14"/>
      <c r="O8" s="14"/>
      <c r="P8" s="14"/>
      <c r="Q8" s="14"/>
      <c r="R8" s="14"/>
    </row>
    <row r="9" spans="2:18" s="5" customFormat="1" ht="20.100000000000001" customHeight="1" x14ac:dyDescent="0.3">
      <c r="B9" s="58" t="s">
        <v>16</v>
      </c>
      <c r="C9" s="59"/>
      <c r="D9" s="59"/>
      <c r="E9" s="60"/>
      <c r="F9" s="62">
        <v>399</v>
      </c>
      <c r="G9" s="62"/>
      <c r="I9" s="23" t="s">
        <v>99</v>
      </c>
      <c r="J9" s="24" t="s">
        <v>112</v>
      </c>
      <c r="K9" s="27">
        <f>F9-20.5*2</f>
        <v>358</v>
      </c>
      <c r="L9" s="28">
        <f>F10*(F11+1)</f>
        <v>4</v>
      </c>
      <c r="M9" s="52"/>
    </row>
    <row r="10" spans="2:18" s="5" customFormat="1" ht="20.100000000000001" customHeight="1" x14ac:dyDescent="0.3">
      <c r="B10" s="58" t="s">
        <v>88</v>
      </c>
      <c r="C10" s="59"/>
      <c r="D10" s="59"/>
      <c r="E10" s="60"/>
      <c r="F10" s="61">
        <v>2</v>
      </c>
      <c r="G10" s="61"/>
      <c r="I10" s="23" t="s">
        <v>100</v>
      </c>
      <c r="J10" s="24" t="s">
        <v>112</v>
      </c>
      <c r="K10" s="27">
        <f>IF(F13=N23,F14,0)</f>
        <v>0</v>
      </c>
      <c r="L10" s="28">
        <f>IF(K10&gt;0,F11*2+2,0)</f>
        <v>0</v>
      </c>
      <c r="M10" s="53"/>
    </row>
    <row r="11" spans="2:18" s="5" customFormat="1" ht="20.100000000000001" customHeight="1" x14ac:dyDescent="0.3">
      <c r="B11" s="54" t="s">
        <v>8</v>
      </c>
      <c r="C11" s="55"/>
      <c r="D11" s="55"/>
      <c r="E11" s="56"/>
      <c r="F11" s="61">
        <v>1</v>
      </c>
      <c r="G11" s="61"/>
      <c r="I11" s="23" t="s">
        <v>102</v>
      </c>
      <c r="J11" s="24" t="s">
        <v>113</v>
      </c>
      <c r="K11" s="27">
        <f>IF(C20&gt;0,C19,0)</f>
        <v>459</v>
      </c>
      <c r="L11" s="28">
        <f>C20*2</f>
        <v>4</v>
      </c>
      <c r="M11" s="48">
        <f>ROUNDUP(((K11*L11+K12*L12+K13*L13+K14*L14+K15*L15)/5350),0)</f>
        <v>1</v>
      </c>
    </row>
    <row r="12" spans="2:18" s="5" customFormat="1" ht="20.100000000000001" customHeight="1" x14ac:dyDescent="0.3">
      <c r="B12" s="54" t="s">
        <v>95</v>
      </c>
      <c r="C12" s="55"/>
      <c r="D12" s="55"/>
      <c r="E12" s="56"/>
      <c r="F12" s="57" t="s">
        <v>93</v>
      </c>
      <c r="G12" s="57"/>
      <c r="I12" s="23" t="s">
        <v>103</v>
      </c>
      <c r="J12" s="24" t="s">
        <v>113</v>
      </c>
      <c r="K12" s="1">
        <f>IF(AND(D20&gt;0,F11&gt;1),D19,0)</f>
        <v>0</v>
      </c>
      <c r="L12" s="42">
        <f>IF(F11&gt;1,D20*2,0)</f>
        <v>0</v>
      </c>
      <c r="M12" s="49"/>
      <c r="P12" s="11"/>
    </row>
    <row r="13" spans="2:18" s="5" customFormat="1" ht="20.100000000000001" customHeight="1" x14ac:dyDescent="0.3">
      <c r="B13" s="54" t="s">
        <v>94</v>
      </c>
      <c r="C13" s="55"/>
      <c r="D13" s="55"/>
      <c r="E13" s="56"/>
      <c r="F13" s="57" t="s">
        <v>93</v>
      </c>
      <c r="G13" s="57"/>
      <c r="I13" s="23" t="s">
        <v>104</v>
      </c>
      <c r="J13" s="24" t="s">
        <v>113</v>
      </c>
      <c r="K13" s="1">
        <f>IF(AND(E20&gt;0,F11&gt;2),E19,0)</f>
        <v>0</v>
      </c>
      <c r="L13" s="42">
        <f>IF(F11&gt;2,E20*2,0)</f>
        <v>0</v>
      </c>
      <c r="M13" s="49"/>
      <c r="P13" s="11"/>
    </row>
    <row r="14" spans="2:18" s="5" customFormat="1" ht="20.100000000000001" customHeight="1" x14ac:dyDescent="0.3">
      <c r="B14" s="54" t="s">
        <v>91</v>
      </c>
      <c r="C14" s="55"/>
      <c r="D14" s="55"/>
      <c r="E14" s="56"/>
      <c r="F14" s="62">
        <v>60</v>
      </c>
      <c r="G14" s="62"/>
      <c r="I14" s="23" t="s">
        <v>105</v>
      </c>
      <c r="J14" s="24" t="s">
        <v>113</v>
      </c>
      <c r="K14" s="1">
        <f>IF(AND(F20&gt;0,F11&gt;3),F19,0)</f>
        <v>0</v>
      </c>
      <c r="L14" s="42">
        <f>IF(F11&gt;3,F20*2,0)</f>
        <v>0</v>
      </c>
      <c r="M14" s="49"/>
      <c r="P14" s="11"/>
    </row>
    <row r="15" spans="2:18" s="5" customFormat="1" ht="20.100000000000001" customHeight="1" x14ac:dyDescent="0.3">
      <c r="B15" s="54" t="s">
        <v>125</v>
      </c>
      <c r="C15" s="55"/>
      <c r="D15" s="55"/>
      <c r="E15" s="56"/>
      <c r="F15" s="57" t="s">
        <v>93</v>
      </c>
      <c r="G15" s="57"/>
      <c r="I15" s="23" t="s">
        <v>106</v>
      </c>
      <c r="J15" s="24" t="s">
        <v>113</v>
      </c>
      <c r="K15" s="1">
        <f>IF(AND(G20&gt;0,F11&gt;4),G19,0)</f>
        <v>0</v>
      </c>
      <c r="L15" s="42">
        <f>IF(F11&gt;4,G20*2,0)</f>
        <v>0</v>
      </c>
      <c r="M15" s="50"/>
    </row>
    <row r="16" spans="2:18" s="5" customFormat="1" ht="20.100000000000001" customHeight="1" x14ac:dyDescent="0.3">
      <c r="B16" s="54" t="s">
        <v>140</v>
      </c>
      <c r="C16" s="55"/>
      <c r="D16" s="55"/>
      <c r="E16" s="56"/>
      <c r="F16" s="61">
        <v>0</v>
      </c>
      <c r="G16" s="61"/>
      <c r="I16" s="23" t="s">
        <v>101</v>
      </c>
      <c r="J16" s="24" t="s">
        <v>114</v>
      </c>
      <c r="K16" s="27">
        <f>IF(C21&gt;0,C19,0)</f>
        <v>0</v>
      </c>
      <c r="L16" s="28">
        <f>C21*2</f>
        <v>0</v>
      </c>
      <c r="M16" s="48">
        <f>ROUNDUP(((K16*L16+K17*L17+K18*L18+K19*L19+K20*L20)/5350),0)</f>
        <v>0</v>
      </c>
    </row>
    <row r="17" spans="2:14" s="5" customFormat="1" ht="20.100000000000001" customHeight="1" x14ac:dyDescent="0.3">
      <c r="I17" s="23" t="s">
        <v>107</v>
      </c>
      <c r="J17" s="24" t="s">
        <v>114</v>
      </c>
      <c r="K17" s="1">
        <f>IF(AND(D21&gt;0,F11&gt;1),D19,0)</f>
        <v>0</v>
      </c>
      <c r="L17" s="42">
        <f>IF(F11&gt;1,D21*2,0)</f>
        <v>0</v>
      </c>
      <c r="M17" s="49"/>
    </row>
    <row r="18" spans="2:14" s="5" customFormat="1" ht="20.100000000000001" customHeight="1" x14ac:dyDescent="0.3">
      <c r="B18" s="15"/>
      <c r="C18" s="17" t="s">
        <v>9</v>
      </c>
      <c r="D18" s="17" t="s">
        <v>11</v>
      </c>
      <c r="E18" s="17" t="s">
        <v>12</v>
      </c>
      <c r="F18" s="17" t="s">
        <v>13</v>
      </c>
      <c r="G18" s="17" t="s">
        <v>14</v>
      </c>
      <c r="I18" s="23" t="s">
        <v>108</v>
      </c>
      <c r="J18" s="24" t="s">
        <v>114</v>
      </c>
      <c r="K18" s="1">
        <f>IF(AND(E21&gt;0,F11&gt;2),E19,0)</f>
        <v>0</v>
      </c>
      <c r="L18" s="42">
        <f>IF(F11&gt;2,E21*2,0)</f>
        <v>0</v>
      </c>
      <c r="M18" s="49"/>
    </row>
    <row r="19" spans="2:14" s="5" customFormat="1" ht="20.100000000000001" customHeight="1" x14ac:dyDescent="0.3">
      <c r="B19" s="18" t="s">
        <v>10</v>
      </c>
      <c r="C19" s="27">
        <f>IF(F11=1,F8-20.5*2,IF(F11=2,F8-20.5*3-D19,IF(F11=3,F8-20.5*4-SUM(D19:E19),IF(F11=4,F8-20.5*5-SUM(D19:F19),F8-20.5*6-SUM(D19:G19)))))</f>
        <v>459</v>
      </c>
      <c r="D19" s="13">
        <v>358</v>
      </c>
      <c r="E19" s="13">
        <v>358</v>
      </c>
      <c r="F19" s="13">
        <v>358</v>
      </c>
      <c r="G19" s="13">
        <v>750</v>
      </c>
      <c r="I19" s="23" t="s">
        <v>109</v>
      </c>
      <c r="J19" s="24" t="s">
        <v>114</v>
      </c>
      <c r="K19" s="1">
        <f>IF(AND(F21&gt;0,F11&gt;3),F19,0)</f>
        <v>0</v>
      </c>
      <c r="L19" s="42">
        <f>IF(F11&gt;3,F21*2,0)</f>
        <v>0</v>
      </c>
      <c r="M19" s="49"/>
    </row>
    <row r="20" spans="2:14" s="5" customFormat="1" ht="20.100000000000001" customHeight="1" x14ac:dyDescent="0.3">
      <c r="B20" s="18" t="s">
        <v>90</v>
      </c>
      <c r="C20" s="28">
        <f>F10-$C$21</f>
        <v>2</v>
      </c>
      <c r="D20" s="28">
        <f>F10-D21</f>
        <v>2</v>
      </c>
      <c r="E20" s="28">
        <f>F10-E21</f>
        <v>2</v>
      </c>
      <c r="F20" s="28">
        <f>F10-F21</f>
        <v>2</v>
      </c>
      <c r="G20" s="28">
        <f>F10-G21</f>
        <v>1</v>
      </c>
      <c r="I20" s="23" t="s">
        <v>110</v>
      </c>
      <c r="J20" s="24" t="s">
        <v>114</v>
      </c>
      <c r="K20" s="1">
        <f>IF(AND(G21&gt;0,F11&gt;4),G19,0)</f>
        <v>0</v>
      </c>
      <c r="L20" s="42">
        <f>IF(F11&gt;4,G21*2,0)</f>
        <v>0</v>
      </c>
      <c r="M20" s="50"/>
    </row>
    <row r="21" spans="2:14" s="5" customFormat="1" ht="20.100000000000001" customHeight="1" x14ac:dyDescent="0.3">
      <c r="B21" s="18" t="s">
        <v>89</v>
      </c>
      <c r="C21" s="16">
        <v>0</v>
      </c>
      <c r="D21" s="16">
        <v>0</v>
      </c>
      <c r="E21" s="16">
        <v>0</v>
      </c>
      <c r="F21" s="16">
        <v>0</v>
      </c>
      <c r="G21" s="16">
        <v>1</v>
      </c>
      <c r="I21" s="23" t="s">
        <v>111</v>
      </c>
      <c r="J21" s="24" t="s">
        <v>115</v>
      </c>
      <c r="K21" s="1">
        <f>IF(F12=N23,C23,0)</f>
        <v>0</v>
      </c>
      <c r="L21" s="42">
        <f>IF(F12=N23,(F10-1)*2,0)</f>
        <v>0</v>
      </c>
      <c r="M21" s="42">
        <f>ROUNDUP((K21*L21/5350),0)</f>
        <v>0</v>
      </c>
    </row>
    <row r="22" spans="2:14" s="5" customFormat="1" ht="20.100000000000001" customHeight="1" x14ac:dyDescent="0.35">
      <c r="B22" s="4"/>
      <c r="C22" s="3"/>
      <c r="D22" s="3"/>
      <c r="E22" s="3"/>
      <c r="F22" s="3"/>
      <c r="G22" s="3"/>
    </row>
    <row r="23" spans="2:14" x14ac:dyDescent="0.35">
      <c r="B23" s="41" t="s">
        <v>96</v>
      </c>
      <c r="C23" s="47">
        <f>(F7-20.5*F10-IF(F13=N23,F14-2,0)-2)/(F10-1)</f>
        <v>957</v>
      </c>
      <c r="H23" s="5"/>
      <c r="I23" s="25" t="s">
        <v>2</v>
      </c>
      <c r="J23" s="20" t="s">
        <v>5</v>
      </c>
      <c r="K23" s="38" t="s">
        <v>1</v>
      </c>
      <c r="M23" s="5"/>
      <c r="N23" s="4" t="s">
        <v>92</v>
      </c>
    </row>
    <row r="24" spans="2:14" x14ac:dyDescent="0.35">
      <c r="H24" s="5"/>
      <c r="I24" s="12" t="s">
        <v>116</v>
      </c>
      <c r="J24" s="10" t="s">
        <v>117</v>
      </c>
      <c r="K24" s="29">
        <f>(L8+L21)+4+2*(F11-1)+IF(F13=N23,K29,0)</f>
        <v>8</v>
      </c>
      <c r="N24" s="4" t="s">
        <v>93</v>
      </c>
    </row>
    <row r="25" spans="2:14" x14ac:dyDescent="0.35">
      <c r="H25" s="5"/>
      <c r="I25" s="12" t="s">
        <v>118</v>
      </c>
      <c r="J25" s="10" t="s">
        <v>119</v>
      </c>
      <c r="K25" s="26">
        <f>SUM(L11:L20)*2+SUM(L8:L9)*2+L10+IF(F13=N23,K29,0)</f>
        <v>24</v>
      </c>
    </row>
    <row r="26" spans="2:14" x14ac:dyDescent="0.35">
      <c r="I26" s="12" t="s">
        <v>120</v>
      </c>
      <c r="J26" s="10" t="s">
        <v>121</v>
      </c>
      <c r="K26" s="26">
        <f>K25+K28</f>
        <v>24</v>
      </c>
    </row>
    <row r="27" spans="2:14" x14ac:dyDescent="0.35">
      <c r="I27" s="12" t="s">
        <v>122</v>
      </c>
      <c r="J27" s="10" t="s">
        <v>135</v>
      </c>
      <c r="K27" s="28">
        <f>K25+K28</f>
        <v>24</v>
      </c>
    </row>
    <row r="28" spans="2:14" x14ac:dyDescent="0.35">
      <c r="I28" s="12" t="s">
        <v>124</v>
      </c>
      <c r="J28" s="10" t="s">
        <v>137</v>
      </c>
      <c r="K28" s="29">
        <f>L21*2</f>
        <v>0</v>
      </c>
    </row>
    <row r="29" spans="2:14" x14ac:dyDescent="0.35">
      <c r="I29" s="12" t="s">
        <v>125</v>
      </c>
      <c r="J29" s="10" t="s">
        <v>126</v>
      </c>
      <c r="K29" s="29">
        <f>IF(F15=N23,F11*2+2,0)</f>
        <v>0</v>
      </c>
    </row>
    <row r="30" spans="2:14" x14ac:dyDescent="0.35">
      <c r="I30" s="12" t="s">
        <v>127</v>
      </c>
      <c r="J30" s="10" t="s">
        <v>128</v>
      </c>
      <c r="K30" s="26">
        <f>ROUNDUP((K21*L21)/2700,0)</f>
        <v>0</v>
      </c>
    </row>
    <row r="31" spans="2:14" x14ac:dyDescent="0.35">
      <c r="I31" s="12" t="s">
        <v>129</v>
      </c>
      <c r="J31" s="10" t="s">
        <v>130</v>
      </c>
      <c r="K31" s="26">
        <f>IF(AND(F13=N23,F15=N24),L10,0)</f>
        <v>0</v>
      </c>
    </row>
    <row r="32" spans="2:14" x14ac:dyDescent="0.35">
      <c r="I32" s="12" t="s">
        <v>131</v>
      </c>
      <c r="J32" s="10" t="s">
        <v>132</v>
      </c>
      <c r="K32" s="26">
        <f>K24*6-K26</f>
        <v>24</v>
      </c>
    </row>
    <row r="33" spans="2:11" x14ac:dyDescent="0.35">
      <c r="I33" s="43" t="s">
        <v>133</v>
      </c>
      <c r="J33" s="44" t="s">
        <v>136</v>
      </c>
      <c r="K33" s="46">
        <f>K27</f>
        <v>24</v>
      </c>
    </row>
    <row r="34" spans="2:11" x14ac:dyDescent="0.35">
      <c r="I34" s="43" t="s">
        <v>134</v>
      </c>
      <c r="J34" s="44" t="s">
        <v>123</v>
      </c>
      <c r="K34" s="46">
        <f>IF(F15=N24, ROUNDUP((IF(F13=N23,L10,0)+IF(AND(F13=N24,F15=N24),F11*2+2))/40,0),0)</f>
        <v>1</v>
      </c>
    </row>
    <row r="35" spans="2:11" x14ac:dyDescent="0.35">
      <c r="I35" s="43" t="s">
        <v>138</v>
      </c>
      <c r="J35" s="44" t="s">
        <v>139</v>
      </c>
      <c r="K35" s="46">
        <f>F16</f>
        <v>0</v>
      </c>
    </row>
    <row r="36" spans="2:11" x14ac:dyDescent="0.35">
      <c r="B36" s="45"/>
      <c r="C36" s="45"/>
      <c r="D36" s="45"/>
      <c r="E36" s="45"/>
    </row>
  </sheetData>
  <sheetProtection algorithmName="SHA-512" hashValue="XkbMP9ZR0xvk+4sM7xRUpDhKHvTFSvTO2gOGXQCSpl/3X/+9ILvW1HMn6RplRGdbKaEdii1hvLix4TTrdC1v6w==" saltValue="yj6isRrfyjkz2uYoMr+bRg==" spinCount="100000" sheet="1" selectLockedCells="1"/>
  <mergeCells count="26">
    <mergeCell ref="B2:M3"/>
    <mergeCell ref="I5:M5"/>
    <mergeCell ref="F11:G11"/>
    <mergeCell ref="F7:G7"/>
    <mergeCell ref="F8:G8"/>
    <mergeCell ref="B5:G5"/>
    <mergeCell ref="B9:E9"/>
    <mergeCell ref="F9:G9"/>
    <mergeCell ref="B7:E7"/>
    <mergeCell ref="B8:E8"/>
    <mergeCell ref="M16:M20"/>
    <mergeCell ref="M11:M15"/>
    <mergeCell ref="M8:M10"/>
    <mergeCell ref="B12:E12"/>
    <mergeCell ref="F12:G12"/>
    <mergeCell ref="B11:E11"/>
    <mergeCell ref="B10:E10"/>
    <mergeCell ref="F10:G10"/>
    <mergeCell ref="B14:E14"/>
    <mergeCell ref="F14:G14"/>
    <mergeCell ref="B13:E13"/>
    <mergeCell ref="F13:G13"/>
    <mergeCell ref="B15:E15"/>
    <mergeCell ref="F15:G15"/>
    <mergeCell ref="B16:E16"/>
    <mergeCell ref="F16:G16"/>
  </mergeCells>
  <conditionalFormatting sqref="C19">
    <cfRule type="expression" dxfId="8" priority="9">
      <formula>$C$19&gt;1200</formula>
    </cfRule>
    <cfRule type="expression" dxfId="7" priority="10">
      <formula>$C$19&lt;200</formula>
    </cfRule>
  </conditionalFormatting>
  <conditionalFormatting sqref="G18:G21">
    <cfRule type="expression" dxfId="6" priority="15">
      <formula>$F$11&lt;5</formula>
    </cfRule>
  </conditionalFormatting>
  <conditionalFormatting sqref="F18:F21">
    <cfRule type="expression" dxfId="5" priority="16">
      <formula>$F$11&lt;4</formula>
    </cfRule>
  </conditionalFormatting>
  <conditionalFormatting sqref="E18:E21">
    <cfRule type="expression" dxfId="4" priority="17">
      <formula>$F$11&lt;3</formula>
    </cfRule>
  </conditionalFormatting>
  <conditionalFormatting sqref="D18:D21">
    <cfRule type="expression" dxfId="3" priority="18">
      <formula>$F$11&lt;2</formula>
    </cfRule>
  </conditionalFormatting>
  <conditionalFormatting sqref="C23">
    <cfRule type="expression" dxfId="2" priority="3">
      <formula>$C$19&gt;1200</formula>
    </cfRule>
    <cfRule type="expression" dxfId="1" priority="4">
      <formula>$C$19&lt;200</formula>
    </cfRule>
  </conditionalFormatting>
  <conditionalFormatting sqref="B14:G14">
    <cfRule type="expression" dxfId="0" priority="19">
      <formula>$F$13=$N$24</formula>
    </cfRule>
  </conditionalFormatting>
  <dataValidations count="12">
    <dataValidation type="whole" allowBlank="1" showInputMessage="1" showErrorMessage="1" errorTitle="Неправильное количество" error="Минимально 1 секция_x000a_Максимально 5 секций" sqref="F11:G11">
      <formula1>1</formula1>
      <formula2>5</formula2>
    </dataValidation>
    <dataValidation type="whole" allowBlank="1" showInputMessage="1" showErrorMessage="1" sqref="F9:G9">
      <formula1>170</formula1>
      <formula2>600</formula2>
    </dataValidation>
    <dataValidation type="whole" allowBlank="1" showInputMessage="1" showErrorMessage="1" errorTitle="Неправильное количество" error="Не более 4 шт" sqref="G21">
      <formula1>0</formula1>
      <formula2>F10</formula2>
    </dataValidation>
    <dataValidation type="whole" allowBlank="1" showInputMessage="1" showErrorMessage="1" errorTitle="Неправильное количество" error="Не более 10 шт" sqref="C20:G20">
      <formula1>0</formula1>
      <formula2>10</formula2>
    </dataValidation>
    <dataValidation type="whole" allowBlank="1" showInputMessage="1" showErrorMessage="1" errorTitle="Неправильное количество" error="Минимально 2 полки_x000a_Максимально 10 полок" sqref="F10:G10">
      <formula1>2</formula1>
      <formula2>10</formula2>
    </dataValidation>
    <dataValidation type="whole" allowBlank="1" showInputMessage="1" showErrorMessage="1" errorTitle="Неправильная высота" error="Не менее 60 мм" sqref="F14:G14">
      <formula1>60</formula1>
      <formula2>200</formula2>
    </dataValidation>
    <dataValidation type="whole" allowBlank="1" showInputMessage="1" showErrorMessage="1" errorTitle="Неправильное количество" error="Не более 4 шт" sqref="C21">
      <formula1>0</formula1>
      <formula2>F10</formula2>
    </dataValidation>
    <dataValidation type="whole" allowBlank="1" showInputMessage="1" showErrorMessage="1" errorTitle="Неправильное количество" error="Не более 4 шт" sqref="D21">
      <formula1>0</formula1>
      <formula2>F10</formula2>
    </dataValidation>
    <dataValidation type="whole" allowBlank="1" showInputMessage="1" showErrorMessage="1" errorTitle="Неправильное количество" error="Не более 4 шт" sqref="E21">
      <formula1>0</formula1>
      <formula2>F10</formula2>
    </dataValidation>
    <dataValidation type="whole" allowBlank="1" showInputMessage="1" showErrorMessage="1" errorTitle="Неправильное количество" error="Не более 4 шт" sqref="F21">
      <formula1>0</formula1>
      <formula2>F10</formula2>
    </dataValidation>
    <dataValidation type="list" allowBlank="1" showInputMessage="1" showErrorMessage="1" errorTitle="Неправильное количество" error="Максимально 5 секций" sqref="F12:G13 F15:G15">
      <formula1>$N$23:$N$24</formula1>
    </dataValidation>
    <dataValidation type="whole" allowBlank="1" showInputMessage="1" showErrorMessage="1" errorTitle="Неправильное количество" error="Минимально 1 секция_x000a_Максимально 5 секций" sqref="F16:G16">
      <formula1>0</formula1>
      <formula2>100</formula2>
    </dataValidation>
  </dataValidations>
  <printOptions horizontalCentered="1"/>
  <pageMargins left="0.39370078740157483" right="0.39370078740157483" top="0.39370078740157483" bottom="0.39370078740157483" header="0" footer="0"/>
  <pageSetup paperSize="9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activeCell="E24" sqref="E24"/>
    </sheetView>
  </sheetViews>
  <sheetFormatPr defaultRowHeight="14.4" x14ac:dyDescent="0.3"/>
  <cols>
    <col min="1" max="1" width="56.21875" style="37" customWidth="1"/>
    <col min="2" max="2" width="22.6640625" style="30" customWidth="1"/>
    <col min="3" max="3" width="17.21875" style="30" customWidth="1"/>
    <col min="4" max="4" width="9.21875" style="30" customWidth="1"/>
    <col min="5" max="5" width="14.44140625" style="30" customWidth="1"/>
    <col min="6" max="6" width="18" customWidth="1"/>
    <col min="7" max="7" width="11" customWidth="1"/>
    <col min="8" max="8" width="12.6640625" customWidth="1"/>
    <col min="9" max="9" width="10" customWidth="1"/>
  </cols>
  <sheetData>
    <row r="1" spans="1:9" ht="15" thickBot="1" x14ac:dyDescent="0.35">
      <c r="A1" s="69" t="s">
        <v>25</v>
      </c>
      <c r="B1" s="70" t="s">
        <v>26</v>
      </c>
      <c r="C1" s="70" t="s">
        <v>27</v>
      </c>
      <c r="D1" s="70"/>
      <c r="E1" s="70" t="s">
        <v>28</v>
      </c>
      <c r="F1" s="68" t="s">
        <v>86</v>
      </c>
    </row>
    <row r="2" spans="1:9" ht="15" thickBot="1" x14ac:dyDescent="0.35">
      <c r="A2" s="69"/>
      <c r="B2" s="70"/>
      <c r="C2" s="31" t="s">
        <v>29</v>
      </c>
      <c r="D2" s="31" t="s">
        <v>30</v>
      </c>
      <c r="E2" s="70"/>
      <c r="F2" s="68"/>
      <c r="H2" t="s">
        <v>85</v>
      </c>
      <c r="I2" s="40">
        <v>2.75</v>
      </c>
    </row>
    <row r="3" spans="1:9" x14ac:dyDescent="0.3">
      <c r="A3" s="65" t="s">
        <v>33</v>
      </c>
      <c r="B3" s="66"/>
      <c r="C3" s="66"/>
      <c r="D3" s="66"/>
      <c r="E3" s="67"/>
      <c r="F3" s="39"/>
    </row>
    <row r="4" spans="1:9" x14ac:dyDescent="0.3">
      <c r="A4" s="36" t="s">
        <v>34</v>
      </c>
      <c r="B4" s="32" t="s">
        <v>17</v>
      </c>
      <c r="C4" s="33">
        <v>1391.69</v>
      </c>
      <c r="D4" s="32" t="s">
        <v>31</v>
      </c>
      <c r="E4" s="34">
        <f t="shared" ref="E4:E33" si="0">C4-(C4/100*40)</f>
        <v>835.01400000000001</v>
      </c>
      <c r="F4" s="39">
        <f>E4*$I$2</f>
        <v>2296.2885000000001</v>
      </c>
    </row>
    <row r="5" spans="1:9" x14ac:dyDescent="0.3">
      <c r="A5" s="36" t="s">
        <v>35</v>
      </c>
      <c r="B5" s="32" t="s">
        <v>18</v>
      </c>
      <c r="C5" s="33">
        <v>3629.22</v>
      </c>
      <c r="D5" s="32" t="s">
        <v>31</v>
      </c>
      <c r="E5" s="34">
        <f t="shared" si="0"/>
        <v>2177.5319999999997</v>
      </c>
      <c r="F5" s="39">
        <f t="shared" ref="F5:F33" si="1">E5*$I$2</f>
        <v>5988.2129999999988</v>
      </c>
    </row>
    <row r="6" spans="1:9" x14ac:dyDescent="0.3">
      <c r="A6" s="36" t="s">
        <v>36</v>
      </c>
      <c r="B6" s="32" t="s">
        <v>19</v>
      </c>
      <c r="C6" s="35">
        <v>927.77</v>
      </c>
      <c r="D6" s="32" t="s">
        <v>31</v>
      </c>
      <c r="E6" s="34">
        <f t="shared" si="0"/>
        <v>556.66200000000003</v>
      </c>
      <c r="F6" s="39">
        <f t="shared" si="1"/>
        <v>1530.8205</v>
      </c>
    </row>
    <row r="7" spans="1:9" x14ac:dyDescent="0.3">
      <c r="A7" s="36" t="s">
        <v>37</v>
      </c>
      <c r="B7" s="32" t="s">
        <v>20</v>
      </c>
      <c r="C7" s="33">
        <v>1446.24</v>
      </c>
      <c r="D7" s="32" t="s">
        <v>31</v>
      </c>
      <c r="E7" s="34">
        <f t="shared" si="0"/>
        <v>867.74400000000003</v>
      </c>
      <c r="F7" s="39">
        <f t="shared" si="1"/>
        <v>2386.2960000000003</v>
      </c>
    </row>
    <row r="8" spans="1:9" x14ac:dyDescent="0.3">
      <c r="A8" s="65" t="s">
        <v>38</v>
      </c>
      <c r="B8" s="66"/>
      <c r="C8" s="66"/>
      <c r="D8" s="66"/>
      <c r="E8" s="67"/>
      <c r="F8" s="39">
        <f t="shared" si="1"/>
        <v>0</v>
      </c>
    </row>
    <row r="9" spans="1:9" x14ac:dyDescent="0.3">
      <c r="A9" s="36" t="s">
        <v>39</v>
      </c>
      <c r="B9" s="32" t="s">
        <v>40</v>
      </c>
      <c r="C9" s="33">
        <v>1230.08</v>
      </c>
      <c r="D9" s="32" t="s">
        <v>31</v>
      </c>
      <c r="E9" s="34">
        <f t="shared" si="0"/>
        <v>738.048</v>
      </c>
      <c r="F9" s="39">
        <f t="shared" si="1"/>
        <v>2029.6320000000001</v>
      </c>
    </row>
    <row r="10" spans="1:9" x14ac:dyDescent="0.3">
      <c r="A10" s="36" t="s">
        <v>41</v>
      </c>
      <c r="B10" s="32" t="s">
        <v>42</v>
      </c>
      <c r="C10" s="35">
        <v>16.37</v>
      </c>
      <c r="D10" s="32" t="s">
        <v>31</v>
      </c>
      <c r="E10" s="34">
        <f t="shared" si="0"/>
        <v>9.822000000000001</v>
      </c>
      <c r="F10" s="39">
        <f t="shared" si="1"/>
        <v>27.010500000000004</v>
      </c>
    </row>
    <row r="11" spans="1:9" x14ac:dyDescent="0.3">
      <c r="A11" s="36" t="s">
        <v>43</v>
      </c>
      <c r="B11" s="32" t="s">
        <v>44</v>
      </c>
      <c r="C11" s="35">
        <v>193.5</v>
      </c>
      <c r="D11" s="32" t="s">
        <v>32</v>
      </c>
      <c r="E11" s="34">
        <f t="shared" si="0"/>
        <v>116.1</v>
      </c>
      <c r="F11" s="39">
        <f t="shared" si="1"/>
        <v>319.27499999999998</v>
      </c>
    </row>
    <row r="12" spans="1:9" x14ac:dyDescent="0.3">
      <c r="A12" s="36" t="s">
        <v>45</v>
      </c>
      <c r="B12" s="32" t="s">
        <v>46</v>
      </c>
      <c r="C12" s="35">
        <v>24.55</v>
      </c>
      <c r="D12" s="32" t="s">
        <v>32</v>
      </c>
      <c r="E12" s="34">
        <f t="shared" si="0"/>
        <v>14.73</v>
      </c>
      <c r="F12" s="39">
        <f t="shared" si="1"/>
        <v>40.5075</v>
      </c>
    </row>
    <row r="13" spans="1:9" x14ac:dyDescent="0.3">
      <c r="A13" s="36" t="s">
        <v>47</v>
      </c>
      <c r="B13" s="32" t="s">
        <v>48</v>
      </c>
      <c r="C13" s="35">
        <v>328.92</v>
      </c>
      <c r="D13" s="32" t="s">
        <v>31</v>
      </c>
      <c r="E13" s="34">
        <f t="shared" si="0"/>
        <v>197.352</v>
      </c>
      <c r="F13" s="39">
        <f t="shared" si="1"/>
        <v>542.71799999999996</v>
      </c>
    </row>
    <row r="14" spans="1:9" x14ac:dyDescent="0.3">
      <c r="A14" s="36" t="s">
        <v>49</v>
      </c>
      <c r="B14" s="32" t="s">
        <v>50</v>
      </c>
      <c r="C14" s="35">
        <v>211.18</v>
      </c>
      <c r="D14" s="32" t="s">
        <v>31</v>
      </c>
      <c r="E14" s="34">
        <f t="shared" si="0"/>
        <v>126.708</v>
      </c>
      <c r="F14" s="39">
        <f t="shared" si="1"/>
        <v>348.447</v>
      </c>
    </row>
    <row r="15" spans="1:9" x14ac:dyDescent="0.3">
      <c r="A15" s="36" t="s">
        <v>51</v>
      </c>
      <c r="B15" s="32" t="s">
        <v>52</v>
      </c>
      <c r="C15" s="35">
        <v>434.13</v>
      </c>
      <c r="D15" s="32" t="s">
        <v>31</v>
      </c>
      <c r="E15" s="34">
        <f t="shared" si="0"/>
        <v>260.47799999999995</v>
      </c>
      <c r="F15" s="39">
        <f t="shared" si="1"/>
        <v>716.31449999999984</v>
      </c>
    </row>
    <row r="16" spans="1:9" x14ac:dyDescent="0.3">
      <c r="A16" s="36" t="s">
        <v>53</v>
      </c>
      <c r="B16" s="32" t="s">
        <v>54</v>
      </c>
      <c r="C16" s="35">
        <v>267.92</v>
      </c>
      <c r="D16" s="32" t="s">
        <v>31</v>
      </c>
      <c r="E16" s="34">
        <f t="shared" si="0"/>
        <v>160.75200000000001</v>
      </c>
      <c r="F16" s="39">
        <f t="shared" si="1"/>
        <v>442.06800000000004</v>
      </c>
    </row>
    <row r="17" spans="1:6" x14ac:dyDescent="0.3">
      <c r="A17" s="36" t="s">
        <v>55</v>
      </c>
      <c r="B17" s="32" t="s">
        <v>56</v>
      </c>
      <c r="C17" s="35">
        <v>27.36</v>
      </c>
      <c r="D17" s="32" t="s">
        <v>57</v>
      </c>
      <c r="E17" s="34">
        <f t="shared" si="0"/>
        <v>16.415999999999997</v>
      </c>
      <c r="F17" s="39">
        <f t="shared" si="1"/>
        <v>45.143999999999991</v>
      </c>
    </row>
    <row r="18" spans="1:6" x14ac:dyDescent="0.3">
      <c r="A18" s="36" t="s">
        <v>58</v>
      </c>
      <c r="B18" s="32" t="s">
        <v>59</v>
      </c>
      <c r="C18" s="35">
        <v>223.28</v>
      </c>
      <c r="D18" s="32" t="s">
        <v>31</v>
      </c>
      <c r="E18" s="34">
        <f t="shared" si="0"/>
        <v>133.96799999999999</v>
      </c>
      <c r="F18" s="39">
        <f t="shared" si="1"/>
        <v>368.41199999999998</v>
      </c>
    </row>
    <row r="19" spans="1:6" x14ac:dyDescent="0.3">
      <c r="A19" s="65" t="s">
        <v>60</v>
      </c>
      <c r="B19" s="66"/>
      <c r="C19" s="66"/>
      <c r="D19" s="66"/>
      <c r="E19" s="67"/>
      <c r="F19" s="39">
        <f t="shared" si="1"/>
        <v>0</v>
      </c>
    </row>
    <row r="20" spans="1:6" x14ac:dyDescent="0.3">
      <c r="A20" s="36" t="s">
        <v>61</v>
      </c>
      <c r="B20" s="32" t="s">
        <v>62</v>
      </c>
      <c r="C20" s="33">
        <v>1230.08</v>
      </c>
      <c r="D20" s="32" t="s">
        <v>31</v>
      </c>
      <c r="E20" s="34">
        <f t="shared" si="0"/>
        <v>738.048</v>
      </c>
      <c r="F20" s="39">
        <f t="shared" si="1"/>
        <v>2029.6320000000001</v>
      </c>
    </row>
    <row r="21" spans="1:6" x14ac:dyDescent="0.3">
      <c r="A21" s="36" t="s">
        <v>63</v>
      </c>
      <c r="B21" s="32" t="s">
        <v>64</v>
      </c>
      <c r="C21" s="35">
        <v>16.37</v>
      </c>
      <c r="D21" s="32" t="s">
        <v>31</v>
      </c>
      <c r="E21" s="34">
        <f t="shared" si="0"/>
        <v>9.822000000000001</v>
      </c>
      <c r="F21" s="39">
        <f t="shared" si="1"/>
        <v>27.010500000000004</v>
      </c>
    </row>
    <row r="22" spans="1:6" x14ac:dyDescent="0.3">
      <c r="A22" s="36" t="s">
        <v>65</v>
      </c>
      <c r="B22" s="32" t="s">
        <v>66</v>
      </c>
      <c r="C22" s="35">
        <v>193.5</v>
      </c>
      <c r="D22" s="32" t="s">
        <v>32</v>
      </c>
      <c r="E22" s="34">
        <f t="shared" si="0"/>
        <v>116.1</v>
      </c>
      <c r="F22" s="39">
        <f t="shared" si="1"/>
        <v>319.27499999999998</v>
      </c>
    </row>
    <row r="23" spans="1:6" x14ac:dyDescent="0.3">
      <c r="A23" s="36" t="s">
        <v>67</v>
      </c>
      <c r="B23" s="32" t="s">
        <v>68</v>
      </c>
      <c r="C23" s="35">
        <v>24.55</v>
      </c>
      <c r="D23" s="32" t="s">
        <v>32</v>
      </c>
      <c r="E23" s="34">
        <f t="shared" si="0"/>
        <v>14.73</v>
      </c>
      <c r="F23" s="39">
        <f t="shared" si="1"/>
        <v>40.5075</v>
      </c>
    </row>
    <row r="24" spans="1:6" x14ac:dyDescent="0.3">
      <c r="A24" s="36" t="s">
        <v>69</v>
      </c>
      <c r="B24" s="32" t="s">
        <v>70</v>
      </c>
      <c r="C24" s="35">
        <v>328.92</v>
      </c>
      <c r="D24" s="32" t="s">
        <v>31</v>
      </c>
      <c r="E24" s="34">
        <f t="shared" si="0"/>
        <v>197.352</v>
      </c>
      <c r="F24" s="39">
        <f t="shared" si="1"/>
        <v>542.71799999999996</v>
      </c>
    </row>
    <row r="25" spans="1:6" x14ac:dyDescent="0.3">
      <c r="A25" s="36" t="s">
        <v>71</v>
      </c>
      <c r="B25" s="32" t="s">
        <v>72</v>
      </c>
      <c r="C25" s="35">
        <v>211.18</v>
      </c>
      <c r="D25" s="32" t="s">
        <v>31</v>
      </c>
      <c r="E25" s="34">
        <f t="shared" si="0"/>
        <v>126.708</v>
      </c>
      <c r="F25" s="39">
        <f t="shared" si="1"/>
        <v>348.447</v>
      </c>
    </row>
    <row r="26" spans="1:6" x14ac:dyDescent="0.3">
      <c r="A26" s="36" t="s">
        <v>73</v>
      </c>
      <c r="B26" s="32" t="s">
        <v>74</v>
      </c>
      <c r="C26" s="35">
        <v>434.07</v>
      </c>
      <c r="D26" s="32" t="s">
        <v>31</v>
      </c>
      <c r="E26" s="34">
        <f t="shared" si="0"/>
        <v>260.44200000000001</v>
      </c>
      <c r="F26" s="39">
        <f t="shared" si="1"/>
        <v>716.21550000000002</v>
      </c>
    </row>
    <row r="27" spans="1:6" x14ac:dyDescent="0.3">
      <c r="A27" s="36" t="s">
        <v>75</v>
      </c>
      <c r="B27" s="32" t="s">
        <v>76</v>
      </c>
      <c r="C27" s="35">
        <v>267.92</v>
      </c>
      <c r="D27" s="32" t="s">
        <v>31</v>
      </c>
      <c r="E27" s="34">
        <f t="shared" si="0"/>
        <v>160.75200000000001</v>
      </c>
      <c r="F27" s="39">
        <f t="shared" si="1"/>
        <v>442.06800000000004</v>
      </c>
    </row>
    <row r="28" spans="1:6" x14ac:dyDescent="0.3">
      <c r="A28" s="36" t="s">
        <v>77</v>
      </c>
      <c r="B28" s="32" t="s">
        <v>78</v>
      </c>
      <c r="C28" s="35">
        <v>223.28</v>
      </c>
      <c r="D28" s="32" t="s">
        <v>31</v>
      </c>
      <c r="E28" s="34">
        <f t="shared" si="0"/>
        <v>133.96799999999999</v>
      </c>
      <c r="F28" s="39">
        <f t="shared" si="1"/>
        <v>368.41199999999998</v>
      </c>
    </row>
    <row r="29" spans="1:6" x14ac:dyDescent="0.3">
      <c r="A29" s="65" t="s">
        <v>79</v>
      </c>
      <c r="B29" s="66"/>
      <c r="C29" s="66"/>
      <c r="D29" s="66"/>
      <c r="E29" s="67"/>
      <c r="F29" s="39">
        <f t="shared" si="1"/>
        <v>0</v>
      </c>
    </row>
    <row r="30" spans="1:6" x14ac:dyDescent="0.3">
      <c r="A30" s="36" t="s">
        <v>80</v>
      </c>
      <c r="B30" s="32" t="s">
        <v>21</v>
      </c>
      <c r="C30" s="33">
        <v>1436.48</v>
      </c>
      <c r="D30" s="32" t="s">
        <v>31</v>
      </c>
      <c r="E30" s="34">
        <f t="shared" si="0"/>
        <v>861.88800000000003</v>
      </c>
      <c r="F30" s="39">
        <f t="shared" si="1"/>
        <v>2370.192</v>
      </c>
    </row>
    <row r="31" spans="1:6" x14ac:dyDescent="0.3">
      <c r="A31" s="36" t="s">
        <v>81</v>
      </c>
      <c r="B31" s="32" t="s">
        <v>22</v>
      </c>
      <c r="C31" s="33">
        <v>3763.17</v>
      </c>
      <c r="D31" s="32" t="s">
        <v>31</v>
      </c>
      <c r="E31" s="34">
        <f t="shared" si="0"/>
        <v>2257.902</v>
      </c>
      <c r="F31" s="39">
        <f t="shared" si="1"/>
        <v>6209.2304999999997</v>
      </c>
    </row>
    <row r="32" spans="1:6" x14ac:dyDescent="0.3">
      <c r="A32" s="36" t="s">
        <v>82</v>
      </c>
      <c r="B32" s="32" t="s">
        <v>23</v>
      </c>
      <c r="C32" s="35">
        <v>960.5</v>
      </c>
      <c r="D32" s="32" t="s">
        <v>31</v>
      </c>
      <c r="E32" s="34">
        <f t="shared" si="0"/>
        <v>576.29999999999995</v>
      </c>
      <c r="F32" s="39">
        <f t="shared" si="1"/>
        <v>1584.8249999999998</v>
      </c>
    </row>
    <row r="33" spans="1:6" x14ac:dyDescent="0.3">
      <c r="A33" s="36" t="s">
        <v>83</v>
      </c>
      <c r="B33" s="32" t="s">
        <v>24</v>
      </c>
      <c r="C33" s="33">
        <v>1498.77</v>
      </c>
      <c r="D33" s="32" t="s">
        <v>31</v>
      </c>
      <c r="E33" s="34">
        <f t="shared" si="0"/>
        <v>899.26199999999994</v>
      </c>
      <c r="F33" s="39">
        <f t="shared" si="1"/>
        <v>2472.9704999999999</v>
      </c>
    </row>
  </sheetData>
  <mergeCells count="9">
    <mergeCell ref="A3:E3"/>
    <mergeCell ref="A8:E8"/>
    <mergeCell ref="A19:E19"/>
    <mergeCell ref="A29:E29"/>
    <mergeCell ref="F1:F2"/>
    <mergeCell ref="A1:A2"/>
    <mergeCell ref="B1:B2"/>
    <mergeCell ref="C1:D1"/>
    <mergeCell ref="E1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QB</vt:lpstr>
      <vt:lpstr>Прайс</vt:lpstr>
      <vt:lpstr>QB!Область_печати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2024-01-26T07:18:18Z</dcterms:modified>
</cp:coreProperties>
</file>