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a_prun\Desktop\"/>
    </mc:Choice>
  </mc:AlternateContent>
  <workbookProtection workbookAlgorithmName="SHA-512" workbookHashValue="Nhl2rxbGFdzCnxmwZV0bQyHto+duyg6zxbS0WDtnrms25RDTzx1GppDhl703FIJtcfvkKni53Q663DyI9yKy6w==" workbookSaltValue="PrQv5oZYnhor+a23tgHHkQ==" workbookSpinCount="100000" lockStructure="1"/>
  <bookViews>
    <workbookView xWindow="0" yWindow="0" windowWidth="23040" windowHeight="9192" tabRatio="681" activeTab="4"/>
  </bookViews>
  <sheets>
    <sheet name="Подвесная" sheetId="5" r:id="rId1"/>
    <sheet name="Подвесная угловая" sheetId="10" state="hidden" r:id="rId2"/>
    <sheet name="Складная" sheetId="4" state="hidden" r:id="rId3"/>
    <sheet name="Распашная" sheetId="3" state="hidden" r:id="rId4"/>
    <sheet name="Стационарная" sheetId="1" r:id="rId5"/>
    <sheet name="Цены" sheetId="9" state="hidden" r:id="rId6"/>
  </sheets>
  <calcPr calcId="162913"/>
</workbook>
</file>

<file path=xl/calcChain.xml><?xml version="1.0" encoding="utf-8"?>
<calcChain xmlns="http://schemas.openxmlformats.org/spreadsheetml/2006/main">
  <c r="K4" i="1" l="1"/>
  <c r="M17" i="1"/>
  <c r="K5" i="1"/>
  <c r="L17" i="1" s="1"/>
  <c r="BM17" i="1" l="1"/>
  <c r="N17" i="1"/>
  <c r="BL17" i="1" l="1"/>
  <c r="O17" i="1" s="1"/>
  <c r="K5" i="5"/>
  <c r="O30" i="5" s="1"/>
  <c r="E9" i="5"/>
  <c r="M18" i="5" s="1"/>
  <c r="O44" i="5"/>
  <c r="Q43" i="5" s="1"/>
  <c r="K4" i="5"/>
  <c r="O23" i="5"/>
  <c r="Q22" i="5" s="1"/>
  <c r="F20" i="1"/>
  <c r="L9" i="1"/>
  <c r="L15" i="1"/>
  <c r="G19" i="1"/>
  <c r="G20" i="1"/>
  <c r="G21" i="1"/>
  <c r="G22" i="1"/>
  <c r="E18" i="1"/>
  <c r="G18" i="1"/>
  <c r="M12" i="1"/>
  <c r="M13" i="1"/>
  <c r="M14" i="1"/>
  <c r="O24" i="1"/>
  <c r="O23" i="1"/>
  <c r="R23" i="1" s="1"/>
  <c r="M9" i="1"/>
  <c r="M15" i="1" s="1"/>
  <c r="L14" i="1"/>
  <c r="AY14" i="1" s="1"/>
  <c r="L16" i="1"/>
  <c r="M16" i="1"/>
  <c r="BM16" i="1" s="1"/>
  <c r="BM14" i="1"/>
  <c r="BL14" i="1"/>
  <c r="AZ14" i="1" s="1"/>
  <c r="U14" i="1" s="1"/>
  <c r="L10" i="1"/>
  <c r="N10" i="1" s="1"/>
  <c r="BO15" i="1"/>
  <c r="BP15" i="1"/>
  <c r="BK15" i="1"/>
  <c r="BP14" i="1"/>
  <c r="BP27" i="1" s="1"/>
  <c r="BP42" i="1" s="1"/>
  <c r="BO14" i="1"/>
  <c r="BB14" i="1" s="1"/>
  <c r="W14" i="1" s="1"/>
  <c r="AK14" i="1" s="1"/>
  <c r="L15" i="5"/>
  <c r="L18" i="5"/>
  <c r="O36" i="5"/>
  <c r="Q34" i="5" s="1"/>
  <c r="G29" i="5"/>
  <c r="G30" i="5"/>
  <c r="G31" i="5"/>
  <c r="G32" i="5"/>
  <c r="O26" i="5"/>
  <c r="O29" i="5"/>
  <c r="Q28" i="5" s="1"/>
  <c r="O100" i="5"/>
  <c r="O33" i="5"/>
  <c r="Q31" i="5" s="1"/>
  <c r="L10" i="5"/>
  <c r="L12" i="5" s="1"/>
  <c r="O27" i="5"/>
  <c r="Q26" i="5" s="1"/>
  <c r="BL16" i="5"/>
  <c r="BK16" i="5"/>
  <c r="BL15" i="5"/>
  <c r="BL27" i="5" s="1"/>
  <c r="BL39" i="5" s="1"/>
  <c r="BK15" i="5"/>
  <c r="BH15" i="5" s="1"/>
  <c r="AC15" i="5" s="1"/>
  <c r="AQ15" i="5" s="1"/>
  <c r="BO15" i="5"/>
  <c r="BO27" i="5" s="1"/>
  <c r="BN15" i="5"/>
  <c r="BD15" i="5" s="1"/>
  <c r="Y15" i="5" s="1"/>
  <c r="AM15" i="5" s="1"/>
  <c r="M12" i="5"/>
  <c r="L11" i="5"/>
  <c r="M11" i="5"/>
  <c r="M10" i="5"/>
  <c r="T11" i="5"/>
  <c r="AH11" i="5"/>
  <c r="U11" i="5"/>
  <c r="AI11" i="5"/>
  <c r="V11" i="5"/>
  <c r="AJ11" i="5"/>
  <c r="W11" i="5"/>
  <c r="AK11" i="5"/>
  <c r="AL11" i="5"/>
  <c r="Y11" i="5"/>
  <c r="AM11" i="5"/>
  <c r="Z11" i="5"/>
  <c r="AN11" i="5"/>
  <c r="AA11" i="5"/>
  <c r="AO11" i="5"/>
  <c r="AB11" i="5"/>
  <c r="AP11" i="5"/>
  <c r="AC11" i="5"/>
  <c r="AQ11" i="5"/>
  <c r="AR11" i="5"/>
  <c r="AE11" i="5"/>
  <c r="AS11" i="5"/>
  <c r="AT11" i="5"/>
  <c r="AF11" i="5"/>
  <c r="BS11" i="5" a="1"/>
  <c r="BS11" i="5"/>
  <c r="AG11" i="5"/>
  <c r="K35" i="9"/>
  <c r="J35" i="9"/>
  <c r="O35" i="9"/>
  <c r="O34" i="9"/>
  <c r="K34" i="9"/>
  <c r="J34" i="9"/>
  <c r="BS10" i="5" a="1"/>
  <c r="BS10" i="5"/>
  <c r="O188" i="9"/>
  <c r="O189" i="9"/>
  <c r="O190" i="9"/>
  <c r="K190" i="9"/>
  <c r="J190" i="9"/>
  <c r="K189" i="9"/>
  <c r="J189" i="9"/>
  <c r="K188" i="9"/>
  <c r="J188" i="9"/>
  <c r="O187" i="9"/>
  <c r="K187" i="9"/>
  <c r="J187" i="9"/>
  <c r="O43" i="5"/>
  <c r="Q41" i="5"/>
  <c r="BL39" i="1"/>
  <c r="BL54" i="1"/>
  <c r="BM39" i="1"/>
  <c r="BM54" i="1"/>
  <c r="BN39" i="1"/>
  <c r="BN54" i="1"/>
  <c r="BO39" i="1"/>
  <c r="BO54" i="1"/>
  <c r="BP39" i="1"/>
  <c r="BP54" i="1"/>
  <c r="BN40" i="1"/>
  <c r="BN55" i="1"/>
  <c r="BO40" i="1"/>
  <c r="BO55" i="1"/>
  <c r="BP40" i="1"/>
  <c r="BP55" i="1"/>
  <c r="BN41" i="1"/>
  <c r="BN56" i="1"/>
  <c r="BO41" i="1"/>
  <c r="BO56" i="1"/>
  <c r="BP41" i="1"/>
  <c r="BP56" i="1"/>
  <c r="BN42" i="1"/>
  <c r="BN57" i="1"/>
  <c r="BL43" i="1"/>
  <c r="BL58" i="1"/>
  <c r="BM43" i="1"/>
  <c r="BM58" i="1"/>
  <c r="BN43" i="1"/>
  <c r="BN58" i="1"/>
  <c r="BO28" i="1"/>
  <c r="BO43" i="1"/>
  <c r="BO58" i="1"/>
  <c r="BP28" i="1"/>
  <c r="BP43" i="1"/>
  <c r="BP58" i="1"/>
  <c r="BK58" i="1"/>
  <c r="BN38" i="1"/>
  <c r="BN53" i="1"/>
  <c r="BO38" i="1"/>
  <c r="BO53" i="1"/>
  <c r="BP38" i="1"/>
  <c r="BP53" i="1"/>
  <c r="BE43" i="1"/>
  <c r="BE15" i="1"/>
  <c r="Z15" i="1"/>
  <c r="AN15" i="1"/>
  <c r="Y13" i="1"/>
  <c r="AM13" i="1" s="1"/>
  <c r="V13" i="1"/>
  <c r="W13" i="1"/>
  <c r="AK13" i="1"/>
  <c r="Z13" i="1"/>
  <c r="AN13" i="1"/>
  <c r="AB13" i="1"/>
  <c r="AP13" i="1"/>
  <c r="AC13" i="1"/>
  <c r="AQ13" i="1" s="1"/>
  <c r="AF13" i="1"/>
  <c r="AT13" i="1"/>
  <c r="U15" i="1"/>
  <c r="AI15" i="1"/>
  <c r="V15" i="1"/>
  <c r="AJ15" i="1"/>
  <c r="W15" i="1"/>
  <c r="AK15" i="1"/>
  <c r="X15" i="1"/>
  <c r="AL15" i="1"/>
  <c r="Y15" i="1"/>
  <c r="AM15" i="1"/>
  <c r="AA15" i="1"/>
  <c r="AO15" i="1"/>
  <c r="AB15" i="1"/>
  <c r="AP15" i="1"/>
  <c r="AC15" i="1"/>
  <c r="AQ15" i="1"/>
  <c r="AD15" i="1"/>
  <c r="AR15" i="1"/>
  <c r="AE15" i="1"/>
  <c r="AS15" i="1"/>
  <c r="V12" i="1"/>
  <c r="AJ12" i="1"/>
  <c r="W12" i="1"/>
  <c r="AK12" i="1"/>
  <c r="X12" i="1"/>
  <c r="AL12" i="1"/>
  <c r="Z12" i="1"/>
  <c r="AN12" i="1"/>
  <c r="AA12" i="1"/>
  <c r="AO12" i="1"/>
  <c r="AB12" i="1"/>
  <c r="AP12" i="1"/>
  <c r="AC12" i="1"/>
  <c r="AQ12" i="1"/>
  <c r="AD12" i="1"/>
  <c r="AR12" i="1"/>
  <c r="AF12" i="1"/>
  <c r="AT12" i="1"/>
  <c r="U12" i="1"/>
  <c r="AI12" i="1"/>
  <c r="V10" i="1"/>
  <c r="AJ10" i="1"/>
  <c r="W10" i="1"/>
  <c r="AK10" i="1"/>
  <c r="X10" i="1"/>
  <c r="AL10" i="1"/>
  <c r="Z10" i="1"/>
  <c r="AN10" i="1"/>
  <c r="AA10" i="1"/>
  <c r="AO10" i="1"/>
  <c r="AB10" i="1"/>
  <c r="AP10" i="1"/>
  <c r="AC10" i="1"/>
  <c r="AQ10" i="1"/>
  <c r="AD10" i="1"/>
  <c r="AR10" i="1"/>
  <c r="AF10" i="1"/>
  <c r="AT10" i="1"/>
  <c r="U10" i="1"/>
  <c r="AI10" i="1"/>
  <c r="V9" i="1"/>
  <c r="W9" i="1"/>
  <c r="X9" i="1"/>
  <c r="Y9" i="1"/>
  <c r="Z9" i="1"/>
  <c r="AA9" i="1"/>
  <c r="AB9" i="1"/>
  <c r="AC9" i="1"/>
  <c r="AD9" i="1"/>
  <c r="AE9" i="1"/>
  <c r="U9" i="1"/>
  <c r="BK52" i="1"/>
  <c r="BK43" i="1"/>
  <c r="AF15" i="1"/>
  <c r="AT15" i="1"/>
  <c r="BK37" i="1"/>
  <c r="BK28" i="1"/>
  <c r="U10" i="3"/>
  <c r="V10" i="3"/>
  <c r="W10" i="3"/>
  <c r="X10" i="3"/>
  <c r="Y10" i="3"/>
  <c r="Z10" i="3"/>
  <c r="AA10" i="3"/>
  <c r="AB10" i="3"/>
  <c r="AC10" i="3"/>
  <c r="AD10" i="3"/>
  <c r="AE10" i="3"/>
  <c r="AF10" i="3"/>
  <c r="V11" i="3"/>
  <c r="AJ11" i="3"/>
  <c r="AC11" i="3"/>
  <c r="AQ11" i="3"/>
  <c r="U12" i="3"/>
  <c r="V12" i="3"/>
  <c r="AJ12" i="3"/>
  <c r="W12" i="3"/>
  <c r="X12" i="3"/>
  <c r="AL12" i="3"/>
  <c r="Y12" i="3"/>
  <c r="Z12" i="3"/>
  <c r="AA12" i="3"/>
  <c r="AB12" i="3"/>
  <c r="AP12" i="3"/>
  <c r="AC12" i="3"/>
  <c r="AD12" i="3"/>
  <c r="AE12" i="3"/>
  <c r="AF12" i="3"/>
  <c r="AT12" i="3"/>
  <c r="V9" i="3"/>
  <c r="W9" i="3"/>
  <c r="X9" i="3"/>
  <c r="Y9" i="3"/>
  <c r="Z9" i="3"/>
  <c r="AA9" i="3"/>
  <c r="AB9" i="3"/>
  <c r="AC9" i="3"/>
  <c r="AD9" i="3"/>
  <c r="AE9" i="3"/>
  <c r="AF9" i="3"/>
  <c r="U9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I12" i="3"/>
  <c r="AK12" i="3"/>
  <c r="AM12" i="3"/>
  <c r="AN12" i="3"/>
  <c r="AO12" i="3"/>
  <c r="AQ12" i="3"/>
  <c r="AR12" i="3"/>
  <c r="AS12" i="3"/>
  <c r="BJ42" i="3"/>
  <c r="BD42" i="3"/>
  <c r="BJ31" i="3"/>
  <c r="BD31" i="3"/>
  <c r="BN43" i="3"/>
  <c r="BL44" i="3"/>
  <c r="BM44" i="3"/>
  <c r="BN44" i="3"/>
  <c r="BO44" i="3"/>
  <c r="BP44" i="3"/>
  <c r="BK44" i="3"/>
  <c r="BQ44" i="3"/>
  <c r="BR44" i="3"/>
  <c r="BM42" i="3"/>
  <c r="BN42" i="3"/>
  <c r="BO42" i="3"/>
  <c r="BP42" i="3"/>
  <c r="BQ42" i="3"/>
  <c r="BR42" i="3"/>
  <c r="BL42" i="3"/>
  <c r="BN32" i="3"/>
  <c r="BL33" i="3"/>
  <c r="BM33" i="3"/>
  <c r="BN33" i="3"/>
  <c r="BO33" i="3"/>
  <c r="BP33" i="3"/>
  <c r="BK33" i="3"/>
  <c r="BQ33" i="3"/>
  <c r="BR33" i="3"/>
  <c r="BM31" i="3"/>
  <c r="BN31" i="3"/>
  <c r="BO31" i="3"/>
  <c r="BP31" i="3"/>
  <c r="BQ31" i="3"/>
  <c r="BR31" i="3"/>
  <c r="BL31" i="3"/>
  <c r="BK41" i="3"/>
  <c r="BK30" i="3"/>
  <c r="BK19" i="3"/>
  <c r="BK9" i="3"/>
  <c r="BE44" i="3"/>
  <c r="V11" i="4"/>
  <c r="AJ11" i="4"/>
  <c r="W11" i="4"/>
  <c r="AK11" i="4"/>
  <c r="X11" i="4"/>
  <c r="AL11" i="4"/>
  <c r="Y11" i="4"/>
  <c r="AM11" i="4"/>
  <c r="AA11" i="4"/>
  <c r="AO11" i="4"/>
  <c r="AB11" i="4"/>
  <c r="AP11" i="4"/>
  <c r="AC11" i="4"/>
  <c r="AQ11" i="4"/>
  <c r="AD11" i="4"/>
  <c r="AR11" i="4"/>
  <c r="AE11" i="4"/>
  <c r="AS11" i="4"/>
  <c r="V12" i="4"/>
  <c r="AJ12" i="4"/>
  <c r="W12" i="4"/>
  <c r="AK12" i="4"/>
  <c r="X12" i="4"/>
  <c r="AL12" i="4"/>
  <c r="Z12" i="4"/>
  <c r="AN12" i="4"/>
  <c r="AA12" i="4"/>
  <c r="AO12" i="4"/>
  <c r="AB12" i="4"/>
  <c r="AP12" i="4"/>
  <c r="AC12" i="4"/>
  <c r="AQ12" i="4"/>
  <c r="AD12" i="4"/>
  <c r="AR12" i="4"/>
  <c r="AF12" i="4"/>
  <c r="AT12" i="4"/>
  <c r="V13" i="4"/>
  <c r="AJ13" i="4"/>
  <c r="W13" i="4"/>
  <c r="AK13" i="4"/>
  <c r="Y13" i="4"/>
  <c r="AM13" i="4"/>
  <c r="Z13" i="4"/>
  <c r="AN13" i="4"/>
  <c r="AB13" i="4"/>
  <c r="AP13" i="4"/>
  <c r="AC13" i="4"/>
  <c r="AQ13" i="4"/>
  <c r="AF13" i="4"/>
  <c r="AT13" i="4"/>
  <c r="V14" i="4"/>
  <c r="AJ14" i="4"/>
  <c r="AC14" i="4"/>
  <c r="AQ14" i="4"/>
  <c r="V15" i="4"/>
  <c r="AJ15" i="4"/>
  <c r="W15" i="4"/>
  <c r="AK15" i="4"/>
  <c r="X15" i="4"/>
  <c r="AL15" i="4"/>
  <c r="Y15" i="4"/>
  <c r="AM15" i="4"/>
  <c r="AA15" i="4"/>
  <c r="AO15" i="4"/>
  <c r="AB15" i="4"/>
  <c r="AP15" i="4"/>
  <c r="AC15" i="4"/>
  <c r="AQ15" i="4"/>
  <c r="AD15" i="4"/>
  <c r="AR15" i="4"/>
  <c r="AE15" i="4"/>
  <c r="AS15" i="4"/>
  <c r="U12" i="4"/>
  <c r="AI12" i="4"/>
  <c r="U15" i="4"/>
  <c r="AI15" i="4"/>
  <c r="U11" i="4"/>
  <c r="AI11" i="4"/>
  <c r="V10" i="4"/>
  <c r="AJ10" i="4"/>
  <c r="W10" i="4"/>
  <c r="AK10" i="4"/>
  <c r="X10" i="4"/>
  <c r="AL10" i="4"/>
  <c r="Z10" i="4"/>
  <c r="AN10" i="4"/>
  <c r="AA10" i="4"/>
  <c r="AO10" i="4"/>
  <c r="AB10" i="4"/>
  <c r="AP10" i="4"/>
  <c r="AC10" i="4"/>
  <c r="AQ10" i="4"/>
  <c r="AD10" i="4"/>
  <c r="AR10" i="4"/>
  <c r="AF10" i="4"/>
  <c r="AT10" i="4"/>
  <c r="U10" i="4"/>
  <c r="AI10" i="4"/>
  <c r="V9" i="4"/>
  <c r="W9" i="4"/>
  <c r="X9" i="4"/>
  <c r="Y9" i="4"/>
  <c r="Z9" i="4"/>
  <c r="AA9" i="4"/>
  <c r="AB9" i="4"/>
  <c r="AC9" i="4"/>
  <c r="AD9" i="4"/>
  <c r="AE9" i="4"/>
  <c r="U9" i="4"/>
  <c r="T10" i="5"/>
  <c r="AH10" i="5"/>
  <c r="W15" i="10"/>
  <c r="AK15" i="10"/>
  <c r="X15" i="10"/>
  <c r="AL15" i="10"/>
  <c r="AA15" i="10"/>
  <c r="AO15" i="10"/>
  <c r="AC15" i="10"/>
  <c r="AQ15" i="10"/>
  <c r="AD15" i="10"/>
  <c r="AR15" i="10"/>
  <c r="AG15" i="10"/>
  <c r="AU15" i="10"/>
  <c r="W13" i="10"/>
  <c r="AK13" i="10"/>
  <c r="X13" i="10"/>
  <c r="AL13" i="10"/>
  <c r="Y13" i="10"/>
  <c r="AM13" i="10"/>
  <c r="AA13" i="10"/>
  <c r="AO13" i="10"/>
  <c r="AB13" i="10"/>
  <c r="AP13" i="10"/>
  <c r="AC13" i="10"/>
  <c r="AQ13" i="10"/>
  <c r="AD13" i="10"/>
  <c r="AR13" i="10"/>
  <c r="AE13" i="10"/>
  <c r="AS13" i="10"/>
  <c r="AG13" i="10"/>
  <c r="AU13" i="10"/>
  <c r="V13" i="10"/>
  <c r="AJ13" i="10"/>
  <c r="W11" i="10"/>
  <c r="AK11" i="10"/>
  <c r="X11" i="10"/>
  <c r="AL11" i="10"/>
  <c r="Y11" i="10"/>
  <c r="AM11" i="10"/>
  <c r="AA11" i="10"/>
  <c r="AO11" i="10"/>
  <c r="AB11" i="10"/>
  <c r="AP11" i="10"/>
  <c r="AC11" i="10"/>
  <c r="AQ11" i="10"/>
  <c r="AD11" i="10"/>
  <c r="AR11" i="10"/>
  <c r="AE11" i="10"/>
  <c r="AS11" i="10"/>
  <c r="AG11" i="10"/>
  <c r="AU11" i="10"/>
  <c r="V11" i="10"/>
  <c r="AJ11" i="10"/>
  <c r="W10" i="10"/>
  <c r="X10" i="10"/>
  <c r="Y10" i="10"/>
  <c r="Z10" i="10"/>
  <c r="AA10" i="10"/>
  <c r="AB10" i="10"/>
  <c r="AC10" i="10"/>
  <c r="AD10" i="10"/>
  <c r="AE10" i="10"/>
  <c r="AF10" i="10"/>
  <c r="V10" i="10"/>
  <c r="BP45" i="10"/>
  <c r="BR45" i="10"/>
  <c r="BP47" i="10"/>
  <c r="BP49" i="10"/>
  <c r="W9" i="10"/>
  <c r="X9" i="10"/>
  <c r="Y9" i="10"/>
  <c r="Z9" i="10"/>
  <c r="AA9" i="10"/>
  <c r="AB9" i="10"/>
  <c r="AC9" i="10"/>
  <c r="AD9" i="10"/>
  <c r="AE9" i="10"/>
  <c r="AF9" i="10"/>
  <c r="V9" i="10"/>
  <c r="BE58" i="1"/>
  <c r="AU15" i="1"/>
  <c r="AG15" i="1"/>
  <c r="AJ13" i="1"/>
  <c r="AU12" i="3"/>
  <c r="AG12" i="3"/>
  <c r="AU10" i="3"/>
  <c r="AG10" i="3"/>
  <c r="BE33" i="3"/>
  <c r="U15" i="5"/>
  <c r="AI15" i="5" s="1"/>
  <c r="AB15" i="5"/>
  <c r="AP15" i="5" s="1"/>
  <c r="U14" i="5"/>
  <c r="AI14" i="5" s="1"/>
  <c r="V14" i="5"/>
  <c r="AJ14" i="5"/>
  <c r="Y14" i="5"/>
  <c r="AM14" i="5"/>
  <c r="AA14" i="5"/>
  <c r="AO14" i="5"/>
  <c r="AB14" i="5"/>
  <c r="AP14" i="5" s="1"/>
  <c r="AE14" i="5"/>
  <c r="AS14" i="5"/>
  <c r="U12" i="5"/>
  <c r="AI12" i="5"/>
  <c r="V12" i="5"/>
  <c r="AJ12" i="5"/>
  <c r="W12" i="5"/>
  <c r="AK12" i="5"/>
  <c r="Y12" i="5"/>
  <c r="AM12" i="5"/>
  <c r="Z12" i="5"/>
  <c r="AN12" i="5"/>
  <c r="AA12" i="5"/>
  <c r="AO12" i="5"/>
  <c r="AB12" i="5"/>
  <c r="AP12" i="5"/>
  <c r="AC12" i="5"/>
  <c r="AQ12" i="5"/>
  <c r="AE12" i="5"/>
  <c r="AS12" i="5"/>
  <c r="T12" i="5"/>
  <c r="AH12" i="5"/>
  <c r="U10" i="5"/>
  <c r="AI10" i="5"/>
  <c r="V10" i="5"/>
  <c r="AJ10" i="5"/>
  <c r="W10" i="5"/>
  <c r="AK10" i="5"/>
  <c r="Y10" i="5"/>
  <c r="AM10" i="5"/>
  <c r="Z10" i="5"/>
  <c r="AN10" i="5"/>
  <c r="AA10" i="5"/>
  <c r="AO10" i="5"/>
  <c r="AB10" i="5"/>
  <c r="AP10" i="5"/>
  <c r="AC10" i="5"/>
  <c r="AQ10" i="5"/>
  <c r="AE10" i="5"/>
  <c r="AS10" i="5"/>
  <c r="U9" i="5"/>
  <c r="V9" i="5"/>
  <c r="W9" i="5"/>
  <c r="X9" i="5"/>
  <c r="Y9" i="5"/>
  <c r="Z9" i="5"/>
  <c r="AA9" i="5"/>
  <c r="AB9" i="5"/>
  <c r="AC9" i="5"/>
  <c r="AD9" i="5"/>
  <c r="T9" i="5"/>
  <c r="P30" i="10"/>
  <c r="P29" i="10"/>
  <c r="P45" i="10"/>
  <c r="P34" i="10"/>
  <c r="P26" i="10"/>
  <c r="J18" i="10"/>
  <c r="J17" i="10"/>
  <c r="BY61" i="10"/>
  <c r="BY62" i="10"/>
  <c r="BY58" i="10"/>
  <c r="BY59" i="10"/>
  <c r="BY60" i="10"/>
  <c r="BU58" i="5"/>
  <c r="BV73" i="3"/>
  <c r="BU59" i="5"/>
  <c r="BV60" i="1"/>
  <c r="BU60" i="5"/>
  <c r="BV61" i="1"/>
  <c r="BU61" i="5"/>
  <c r="AY58" i="4"/>
  <c r="BU62" i="5"/>
  <c r="BV77" i="3"/>
  <c r="K96" i="9"/>
  <c r="J96" i="9"/>
  <c r="K97" i="9"/>
  <c r="J97" i="9"/>
  <c r="K98" i="9"/>
  <c r="J98" i="9"/>
  <c r="K99" i="9"/>
  <c r="J99" i="9"/>
  <c r="K100" i="9"/>
  <c r="J100" i="9"/>
  <c r="O96" i="9"/>
  <c r="O97" i="9"/>
  <c r="O98" i="9"/>
  <c r="O99" i="9"/>
  <c r="O100" i="9"/>
  <c r="K82" i="9"/>
  <c r="J82" i="9"/>
  <c r="K83" i="9"/>
  <c r="J83" i="9"/>
  <c r="K84" i="9"/>
  <c r="J84" i="9"/>
  <c r="K85" i="9"/>
  <c r="J85" i="9"/>
  <c r="K86" i="9"/>
  <c r="J86" i="9"/>
  <c r="O82" i="9"/>
  <c r="O83" i="9"/>
  <c r="O84" i="9"/>
  <c r="O85" i="9"/>
  <c r="O86" i="9"/>
  <c r="O72" i="9"/>
  <c r="O73" i="9"/>
  <c r="O60" i="9"/>
  <c r="O61" i="9"/>
  <c r="O62" i="9"/>
  <c r="O63" i="9"/>
  <c r="O64" i="9"/>
  <c r="O47" i="9"/>
  <c r="O48" i="9"/>
  <c r="O49" i="9"/>
  <c r="O50" i="9"/>
  <c r="O51" i="9"/>
  <c r="O27" i="9"/>
  <c r="O28" i="9"/>
  <c r="O29" i="9"/>
  <c r="O30" i="9"/>
  <c r="O31" i="9"/>
  <c r="O14" i="9"/>
  <c r="O15" i="9"/>
  <c r="O16" i="9"/>
  <c r="O17" i="9"/>
  <c r="O18" i="9"/>
  <c r="K72" i="9"/>
  <c r="J72" i="9"/>
  <c r="K73" i="9"/>
  <c r="J73" i="9"/>
  <c r="K60" i="9"/>
  <c r="J60" i="9"/>
  <c r="K61" i="9"/>
  <c r="J61" i="9"/>
  <c r="K62" i="9"/>
  <c r="J62" i="9"/>
  <c r="K63" i="9"/>
  <c r="J63" i="9"/>
  <c r="K64" i="9"/>
  <c r="J64" i="9"/>
  <c r="K47" i="9"/>
  <c r="J47" i="9"/>
  <c r="K48" i="9"/>
  <c r="J48" i="9"/>
  <c r="K49" i="9"/>
  <c r="J49" i="9"/>
  <c r="K50" i="9"/>
  <c r="J50" i="9"/>
  <c r="K51" i="9"/>
  <c r="J51" i="9"/>
  <c r="K27" i="9"/>
  <c r="J27" i="9"/>
  <c r="K28" i="9"/>
  <c r="J28" i="9"/>
  <c r="K29" i="9"/>
  <c r="J29" i="9"/>
  <c r="K30" i="9"/>
  <c r="J30" i="9"/>
  <c r="K31" i="9"/>
  <c r="J31" i="9"/>
  <c r="K14" i="9"/>
  <c r="J14" i="9"/>
  <c r="K15" i="9"/>
  <c r="J15" i="9"/>
  <c r="K16" i="9"/>
  <c r="J16" i="9"/>
  <c r="K17" i="9"/>
  <c r="J17" i="9"/>
  <c r="K18" i="9"/>
  <c r="J18" i="9"/>
  <c r="M10" i="3"/>
  <c r="M13" i="4"/>
  <c r="L18" i="10"/>
  <c r="L17" i="10"/>
  <c r="N16" i="10"/>
  <c r="N15" i="10"/>
  <c r="N18" i="10"/>
  <c r="N17" i="10"/>
  <c r="P35" i="10"/>
  <c r="BV76" i="3"/>
  <c r="AY55" i="4"/>
  <c r="BV59" i="1"/>
  <c r="AY59" i="4"/>
  <c r="BV75" i="3"/>
  <c r="BV62" i="1"/>
  <c r="BV63" i="1"/>
  <c r="AY57" i="4"/>
  <c r="BV74" i="3"/>
  <c r="AY56" i="4"/>
  <c r="P44" i="10"/>
  <c r="S44" i="10"/>
  <c r="K180" i="9"/>
  <c r="K181" i="9"/>
  <c r="K4" i="4"/>
  <c r="O170" i="9"/>
  <c r="O171" i="9"/>
  <c r="O169" i="9"/>
  <c r="K171" i="9"/>
  <c r="J171" i="9"/>
  <c r="K170" i="9"/>
  <c r="J170" i="9"/>
  <c r="K169" i="9"/>
  <c r="J169" i="9"/>
  <c r="N5" i="10"/>
  <c r="L5" i="10"/>
  <c r="P33" i="10"/>
  <c r="K6" i="9"/>
  <c r="J6" i="9"/>
  <c r="K39" i="9"/>
  <c r="J39" i="9"/>
  <c r="K32" i="9"/>
  <c r="J32" i="9"/>
  <c r="K19" i="9"/>
  <c r="J19" i="9"/>
  <c r="K52" i="9"/>
  <c r="J52" i="9"/>
  <c r="BW17" i="10" a="1"/>
  <c r="BW17" i="10"/>
  <c r="K87" i="9"/>
  <c r="J87" i="9"/>
  <c r="BT15" i="1"/>
  <c r="K186" i="9"/>
  <c r="J186" i="9"/>
  <c r="O26" i="1"/>
  <c r="R25" i="1" s="1"/>
  <c r="K179" i="9"/>
  <c r="J179" i="9"/>
  <c r="J180" i="9"/>
  <c r="K173" i="9"/>
  <c r="J173" i="9"/>
  <c r="K134" i="9"/>
  <c r="J134" i="9"/>
  <c r="K163" i="9"/>
  <c r="J163" i="9"/>
  <c r="K182" i="9"/>
  <c r="J182" i="9"/>
  <c r="K178" i="9"/>
  <c r="J178" i="9"/>
  <c r="K133" i="9"/>
  <c r="J133" i="9"/>
  <c r="K105" i="9"/>
  <c r="J105" i="9"/>
  <c r="K88" i="9"/>
  <c r="J88" i="9"/>
  <c r="K5" i="3"/>
  <c r="T13" i="1"/>
  <c r="T15" i="1"/>
  <c r="T12" i="1"/>
  <c r="T10" i="1"/>
  <c r="T9" i="1"/>
  <c r="J11" i="3"/>
  <c r="L11" i="3"/>
  <c r="BM11" i="3"/>
  <c r="BM21" i="3"/>
  <c r="BM32" i="3"/>
  <c r="BM43" i="3"/>
  <c r="M11" i="3"/>
  <c r="O25" i="3"/>
  <c r="K4" i="3"/>
  <c r="L9" i="3"/>
  <c r="O9" i="3"/>
  <c r="M9" i="3"/>
  <c r="K36" i="9"/>
  <c r="J36" i="9"/>
  <c r="BT12" i="3" a="1"/>
  <c r="BT12" i="3"/>
  <c r="O26" i="3"/>
  <c r="CA4" i="3"/>
  <c r="O30" i="3"/>
  <c r="O28" i="3"/>
  <c r="O29" i="3"/>
  <c r="O19" i="3"/>
  <c r="K123" i="9"/>
  <c r="J123" i="9"/>
  <c r="R19" i="3"/>
  <c r="O34" i="3"/>
  <c r="K126" i="9"/>
  <c r="J126" i="9"/>
  <c r="K158" i="9"/>
  <c r="J158" i="9"/>
  <c r="K176" i="9"/>
  <c r="J176" i="9"/>
  <c r="K177" i="9"/>
  <c r="J177" i="9"/>
  <c r="K102" i="9"/>
  <c r="J102" i="9"/>
  <c r="K106" i="9"/>
  <c r="J106" i="9"/>
  <c r="K120" i="9"/>
  <c r="J120" i="9"/>
  <c r="K149" i="9"/>
  <c r="J149" i="9"/>
  <c r="T10" i="3"/>
  <c r="T12" i="3"/>
  <c r="T9" i="3"/>
  <c r="P40" i="10"/>
  <c r="K5" i="4"/>
  <c r="F20" i="4"/>
  <c r="F41" i="10"/>
  <c r="F26" i="10"/>
  <c r="AZ42" i="10"/>
  <c r="F27" i="10"/>
  <c r="F28" i="10"/>
  <c r="F29" i="10"/>
  <c r="F43" i="10"/>
  <c r="AZ53" i="10"/>
  <c r="F44" i="10"/>
  <c r="G26" i="10"/>
  <c r="G27" i="10"/>
  <c r="G29" i="10"/>
  <c r="G41" i="10"/>
  <c r="G42" i="10"/>
  <c r="G44" i="10"/>
  <c r="F40" i="10"/>
  <c r="CI6" i="10"/>
  <c r="F25" i="10"/>
  <c r="CE25" i="10"/>
  <c r="CE26" i="10"/>
  <c r="CE28" i="10"/>
  <c r="C21" i="10"/>
  <c r="D36" i="10"/>
  <c r="N9" i="10"/>
  <c r="M16" i="10"/>
  <c r="AZ16" i="10"/>
  <c r="M18" i="10"/>
  <c r="AZ18" i="10"/>
  <c r="M15" i="10"/>
  <c r="M17" i="10"/>
  <c r="G43" i="10"/>
  <c r="G40" i="10"/>
  <c r="K17" i="10"/>
  <c r="CE42" i="10"/>
  <c r="CE43" i="10"/>
  <c r="CE40" i="10"/>
  <c r="CE41" i="10"/>
  <c r="C36" i="10"/>
  <c r="L4" i="10"/>
  <c r="M9" i="10"/>
  <c r="BY50" i="10"/>
  <c r="K65" i="9"/>
  <c r="J65" i="9"/>
  <c r="BW10" i="10" a="1"/>
  <c r="BW10" i="10"/>
  <c r="U10" i="10"/>
  <c r="M11" i="10"/>
  <c r="M12" i="10"/>
  <c r="N11" i="10"/>
  <c r="N12" i="10"/>
  <c r="P32" i="10"/>
  <c r="K153" i="9"/>
  <c r="J153" i="9"/>
  <c r="K159" i="9"/>
  <c r="J159" i="9"/>
  <c r="P25" i="10"/>
  <c r="K151" i="9"/>
  <c r="J151" i="9"/>
  <c r="K160" i="9"/>
  <c r="J160" i="9"/>
  <c r="K131" i="9"/>
  <c r="J131" i="9"/>
  <c r="K132" i="9"/>
  <c r="J132" i="9"/>
  <c r="K113" i="9"/>
  <c r="J113" i="9"/>
  <c r="K130" i="9"/>
  <c r="J130" i="9"/>
  <c r="G25" i="10"/>
  <c r="G28" i="10"/>
  <c r="K154" i="9"/>
  <c r="J154" i="9"/>
  <c r="K119" i="9"/>
  <c r="J119" i="9"/>
  <c r="P39" i="10"/>
  <c r="P43" i="10"/>
  <c r="K148" i="9"/>
  <c r="J148" i="9"/>
  <c r="BY51" i="10"/>
  <c r="BY57" i="10"/>
  <c r="BY54" i="10"/>
  <c r="BQ17" i="10"/>
  <c r="BQ34" i="10"/>
  <c r="BQ50" i="10"/>
  <c r="BQ67" i="10"/>
  <c r="M13" i="10"/>
  <c r="BN13" i="10"/>
  <c r="M14" i="10"/>
  <c r="BN14" i="10"/>
  <c r="M14" i="4"/>
  <c r="M15" i="4"/>
  <c r="BS66" i="10"/>
  <c r="BR66" i="10"/>
  <c r="K18" i="10"/>
  <c r="CE27" i="10"/>
  <c r="L10" i="4"/>
  <c r="M10" i="4"/>
  <c r="L11" i="4"/>
  <c r="M11" i="4"/>
  <c r="M12" i="4"/>
  <c r="J14" i="4"/>
  <c r="U12" i="10"/>
  <c r="U13" i="10"/>
  <c r="U14" i="10"/>
  <c r="U15" i="10"/>
  <c r="U16" i="10"/>
  <c r="N4" i="10"/>
  <c r="U11" i="10"/>
  <c r="U9" i="10"/>
  <c r="L9" i="4"/>
  <c r="M9" i="4"/>
  <c r="O37" i="4"/>
  <c r="S10" i="5"/>
  <c r="S12" i="5"/>
  <c r="S13" i="5"/>
  <c r="S14" i="5"/>
  <c r="S9" i="5"/>
  <c r="T10" i="4"/>
  <c r="T11" i="4"/>
  <c r="T12" i="4"/>
  <c r="T13" i="4"/>
  <c r="T15" i="4"/>
  <c r="T9" i="4"/>
  <c r="BU50" i="5"/>
  <c r="K74" i="9"/>
  <c r="J74" i="9"/>
  <c r="BU51" i="5"/>
  <c r="BV52" i="1"/>
  <c r="BU57" i="5"/>
  <c r="AY54" i="4"/>
  <c r="BU54" i="5"/>
  <c r="BV55" i="1"/>
  <c r="BU56" i="5"/>
  <c r="BV71" i="3"/>
  <c r="O22" i="4"/>
  <c r="K152" i="9"/>
  <c r="J152" i="9"/>
  <c r="O23" i="4"/>
  <c r="K138" i="9"/>
  <c r="J138" i="9"/>
  <c r="O24" i="4"/>
  <c r="K139" i="9"/>
  <c r="J139" i="9"/>
  <c r="O25" i="4"/>
  <c r="O26" i="4"/>
  <c r="K145" i="9"/>
  <c r="J145" i="9"/>
  <c r="R26" i="4"/>
  <c r="O27" i="4"/>
  <c r="O28" i="4"/>
  <c r="O29" i="4"/>
  <c r="O31" i="4"/>
  <c r="K157" i="9"/>
  <c r="J157" i="9"/>
  <c r="O32" i="4"/>
  <c r="CA5" i="4"/>
  <c r="E20" i="4"/>
  <c r="G20" i="4"/>
  <c r="G23" i="4"/>
  <c r="G24" i="4"/>
  <c r="O35" i="4"/>
  <c r="N36" i="4"/>
  <c r="O36" i="4"/>
  <c r="K167" i="9"/>
  <c r="O38" i="4"/>
  <c r="G21" i="4"/>
  <c r="G22" i="4"/>
  <c r="BY56" i="10"/>
  <c r="BY55" i="10"/>
  <c r="BY53" i="10"/>
  <c r="BY52" i="10"/>
  <c r="K150" i="9"/>
  <c r="J150" i="9"/>
  <c r="K109" i="9"/>
  <c r="J109" i="9"/>
  <c r="O39" i="5"/>
  <c r="Q38" i="5" s="1"/>
  <c r="K116" i="9"/>
  <c r="J116" i="9"/>
  <c r="K136" i="9"/>
  <c r="J136" i="9"/>
  <c r="O136" i="9"/>
  <c r="K121" i="9"/>
  <c r="J121" i="9"/>
  <c r="K122" i="9"/>
  <c r="J122" i="9"/>
  <c r="O120" i="9"/>
  <c r="O121" i="9"/>
  <c r="O122" i="9"/>
  <c r="K183" i="9"/>
  <c r="J183" i="9"/>
  <c r="O183" i="9"/>
  <c r="K184" i="9"/>
  <c r="J184" i="9"/>
  <c r="O184" i="9"/>
  <c r="K185" i="9"/>
  <c r="J185" i="9"/>
  <c r="O185" i="9"/>
  <c r="K174" i="9"/>
  <c r="J174" i="9"/>
  <c r="O174" i="9"/>
  <c r="K175" i="9"/>
  <c r="J175" i="9"/>
  <c r="O175" i="9"/>
  <c r="O33" i="3"/>
  <c r="K168" i="9"/>
  <c r="J168" i="9"/>
  <c r="O168" i="9"/>
  <c r="K164" i="9"/>
  <c r="J164" i="9"/>
  <c r="O164" i="9"/>
  <c r="K165" i="9"/>
  <c r="J165" i="9"/>
  <c r="O165" i="9"/>
  <c r="K166" i="9"/>
  <c r="J166" i="9"/>
  <c r="O166" i="9"/>
  <c r="K155" i="9"/>
  <c r="J155" i="9"/>
  <c r="O155" i="9"/>
  <c r="K156" i="9"/>
  <c r="J156" i="9"/>
  <c r="O156" i="9"/>
  <c r="K146" i="9"/>
  <c r="J146" i="9"/>
  <c r="O146" i="9"/>
  <c r="K147" i="9"/>
  <c r="J147" i="9"/>
  <c r="O147" i="9"/>
  <c r="K140" i="9"/>
  <c r="J140" i="9"/>
  <c r="O140" i="9"/>
  <c r="K141" i="9"/>
  <c r="J141" i="9"/>
  <c r="O141" i="9"/>
  <c r="K142" i="9"/>
  <c r="J142" i="9"/>
  <c r="O142" i="9"/>
  <c r="K143" i="9"/>
  <c r="J143" i="9"/>
  <c r="O143" i="9"/>
  <c r="K144" i="9"/>
  <c r="J144" i="9"/>
  <c r="O144" i="9"/>
  <c r="K135" i="9"/>
  <c r="J135" i="9"/>
  <c r="O135" i="9"/>
  <c r="K137" i="9"/>
  <c r="J137" i="9"/>
  <c r="O137" i="9"/>
  <c r="K127" i="9"/>
  <c r="J127" i="9"/>
  <c r="O127" i="9"/>
  <c r="K128" i="9"/>
  <c r="J128" i="9"/>
  <c r="O128" i="9"/>
  <c r="K129" i="9"/>
  <c r="J129" i="9"/>
  <c r="O129" i="9"/>
  <c r="K124" i="9"/>
  <c r="J124" i="9"/>
  <c r="O124" i="9"/>
  <c r="K125" i="9"/>
  <c r="J125" i="9"/>
  <c r="O125" i="9"/>
  <c r="K117" i="9"/>
  <c r="J117" i="9"/>
  <c r="O117" i="9"/>
  <c r="K118" i="9"/>
  <c r="J118" i="9"/>
  <c r="O118" i="9"/>
  <c r="K114" i="9"/>
  <c r="J114" i="9"/>
  <c r="O114" i="9"/>
  <c r="K115" i="9"/>
  <c r="J115" i="9"/>
  <c r="O115" i="9"/>
  <c r="K110" i="9"/>
  <c r="J110" i="9"/>
  <c r="O110" i="9"/>
  <c r="K111" i="9"/>
  <c r="J111" i="9"/>
  <c r="O111" i="9"/>
  <c r="K112" i="9"/>
  <c r="J112" i="9"/>
  <c r="O112" i="9"/>
  <c r="K107" i="9"/>
  <c r="J107" i="9"/>
  <c r="O107" i="9"/>
  <c r="K108" i="9"/>
  <c r="J108" i="9"/>
  <c r="O108" i="9"/>
  <c r="K103" i="9"/>
  <c r="J103" i="9"/>
  <c r="O103" i="9"/>
  <c r="K104" i="9"/>
  <c r="J104" i="9"/>
  <c r="O104" i="9"/>
  <c r="K13" i="9"/>
  <c r="J13" i="9"/>
  <c r="K91" i="9"/>
  <c r="J91" i="9"/>
  <c r="O91" i="9"/>
  <c r="K92" i="9"/>
  <c r="J92" i="9"/>
  <c r="O92" i="9"/>
  <c r="K93" i="9"/>
  <c r="J93" i="9"/>
  <c r="O93" i="9"/>
  <c r="K94" i="9"/>
  <c r="J94" i="9"/>
  <c r="O94" i="9"/>
  <c r="K95" i="9"/>
  <c r="J95" i="9"/>
  <c r="O95" i="9"/>
  <c r="K78" i="9"/>
  <c r="J78" i="9"/>
  <c r="O78" i="9"/>
  <c r="K79" i="9"/>
  <c r="J79" i="9"/>
  <c r="O79" i="9"/>
  <c r="K80" i="9"/>
  <c r="J80" i="9"/>
  <c r="O80" i="9"/>
  <c r="K81" i="9"/>
  <c r="J81" i="9"/>
  <c r="O81" i="9"/>
  <c r="K68" i="9"/>
  <c r="J68" i="9"/>
  <c r="O68" i="9"/>
  <c r="K69" i="9"/>
  <c r="J69" i="9"/>
  <c r="O69" i="9"/>
  <c r="K70" i="9"/>
  <c r="J70" i="9"/>
  <c r="O70" i="9"/>
  <c r="K71" i="9"/>
  <c r="J71" i="9"/>
  <c r="O71" i="9"/>
  <c r="K56" i="9"/>
  <c r="J56" i="9"/>
  <c r="O56" i="9"/>
  <c r="K57" i="9"/>
  <c r="J57" i="9"/>
  <c r="O57" i="9"/>
  <c r="K58" i="9"/>
  <c r="J58" i="9"/>
  <c r="O58" i="9"/>
  <c r="K59" i="9"/>
  <c r="J59" i="9"/>
  <c r="O59" i="9"/>
  <c r="O46" i="9"/>
  <c r="K46" i="9"/>
  <c r="J46" i="9"/>
  <c r="O45" i="9"/>
  <c r="K45" i="9"/>
  <c r="J45" i="9"/>
  <c r="O44" i="9"/>
  <c r="K44" i="9"/>
  <c r="J44" i="9"/>
  <c r="O43" i="9"/>
  <c r="K43" i="9"/>
  <c r="J43" i="9"/>
  <c r="K23" i="9"/>
  <c r="J23" i="9"/>
  <c r="O23" i="9"/>
  <c r="K24" i="9"/>
  <c r="J24" i="9"/>
  <c r="O24" i="9"/>
  <c r="K25" i="9"/>
  <c r="J25" i="9"/>
  <c r="O25" i="9"/>
  <c r="K26" i="9"/>
  <c r="J26" i="9"/>
  <c r="O26" i="9"/>
  <c r="O10" i="9"/>
  <c r="O11" i="9"/>
  <c r="O12" i="9"/>
  <c r="O13" i="9"/>
  <c r="K10" i="9"/>
  <c r="J10" i="9"/>
  <c r="K11" i="9"/>
  <c r="J11" i="9"/>
  <c r="L12" i="3"/>
  <c r="M12" i="3"/>
  <c r="L15" i="4"/>
  <c r="BU52" i="5"/>
  <c r="AY49" i="4"/>
  <c r="BU53" i="5"/>
  <c r="AY50" i="4"/>
  <c r="BU55" i="5"/>
  <c r="AY52" i="4"/>
  <c r="O132" i="9"/>
  <c r="O167" i="9"/>
  <c r="O88" i="9"/>
  <c r="K90" i="9"/>
  <c r="J90" i="9"/>
  <c r="K89" i="9"/>
  <c r="J89" i="9"/>
  <c r="O90" i="9"/>
  <c r="O89" i="9"/>
  <c r="O126" i="9"/>
  <c r="O74" i="9"/>
  <c r="O75" i="9"/>
  <c r="K75" i="9"/>
  <c r="J75" i="9"/>
  <c r="K76" i="9"/>
  <c r="J76" i="9"/>
  <c r="O76" i="9"/>
  <c r="O54" i="9"/>
  <c r="K54" i="9"/>
  <c r="J54" i="9"/>
  <c r="O21" i="9"/>
  <c r="K21" i="9"/>
  <c r="J21" i="9"/>
  <c r="K12" i="9"/>
  <c r="J12" i="9"/>
  <c r="K8" i="9"/>
  <c r="J8" i="9"/>
  <c r="O8" i="9"/>
  <c r="O41" i="9"/>
  <c r="K41" i="9"/>
  <c r="J41" i="9"/>
  <c r="K161" i="9"/>
  <c r="J161" i="9"/>
  <c r="K162" i="9"/>
  <c r="J162" i="9"/>
  <c r="K77" i="9"/>
  <c r="J77" i="9"/>
  <c r="K67" i="9"/>
  <c r="J67" i="9"/>
  <c r="K66" i="9"/>
  <c r="J66" i="9"/>
  <c r="K55" i="9"/>
  <c r="J55" i="9"/>
  <c r="K53" i="9"/>
  <c r="J53" i="9"/>
  <c r="K42" i="9"/>
  <c r="J42" i="9"/>
  <c r="K33" i="9"/>
  <c r="J33" i="9"/>
  <c r="BT10" i="4" a="1"/>
  <c r="BT10" i="4"/>
  <c r="K37" i="9"/>
  <c r="J37" i="9"/>
  <c r="BT15" i="4" a="1"/>
  <c r="BT15" i="4"/>
  <c r="K38" i="9"/>
  <c r="J38" i="9"/>
  <c r="K40" i="9"/>
  <c r="J40" i="9"/>
  <c r="BT13" i="4" a="1"/>
  <c r="BT13" i="4"/>
  <c r="K22" i="9"/>
  <c r="J22" i="9"/>
  <c r="K20" i="9"/>
  <c r="J20" i="9"/>
  <c r="BT12" i="4" a="1"/>
  <c r="BT12" i="4"/>
  <c r="O176" i="9"/>
  <c r="O177" i="9"/>
  <c r="O178" i="9"/>
  <c r="O179" i="9"/>
  <c r="O180" i="9"/>
  <c r="O181" i="9"/>
  <c r="O182" i="9"/>
  <c r="O186" i="9"/>
  <c r="O173" i="9"/>
  <c r="O158" i="9"/>
  <c r="O159" i="9"/>
  <c r="O160" i="9"/>
  <c r="O161" i="9"/>
  <c r="O162" i="9"/>
  <c r="O163" i="9"/>
  <c r="O157" i="9"/>
  <c r="O154" i="9"/>
  <c r="O149" i="9"/>
  <c r="O150" i="9"/>
  <c r="O151" i="9"/>
  <c r="O152" i="9"/>
  <c r="O153" i="9"/>
  <c r="O148" i="9"/>
  <c r="O145" i="9"/>
  <c r="O139" i="9"/>
  <c r="O138" i="9"/>
  <c r="O134" i="9"/>
  <c r="O131" i="9"/>
  <c r="O133" i="9"/>
  <c r="O130" i="9"/>
  <c r="O123" i="9"/>
  <c r="O116" i="9"/>
  <c r="O119" i="9"/>
  <c r="O113" i="9"/>
  <c r="O109" i="9"/>
  <c r="O106" i="9"/>
  <c r="O105" i="9"/>
  <c r="O102" i="9"/>
  <c r="O87" i="9"/>
  <c r="O77" i="9"/>
  <c r="O67" i="9"/>
  <c r="O65" i="9"/>
  <c r="O66" i="9"/>
  <c r="O55" i="9"/>
  <c r="O52" i="9"/>
  <c r="O53" i="9"/>
  <c r="O42" i="9"/>
  <c r="O32" i="9"/>
  <c r="O33" i="9"/>
  <c r="O36" i="9"/>
  <c r="O37" i="9"/>
  <c r="O38" i="9"/>
  <c r="O39" i="9"/>
  <c r="O40" i="9"/>
  <c r="O22" i="9"/>
  <c r="O20" i="9"/>
  <c r="O19" i="9"/>
  <c r="O23" i="3"/>
  <c r="C14" i="1"/>
  <c r="BZ22" i="1"/>
  <c r="BZ21" i="1"/>
  <c r="BZ20" i="1"/>
  <c r="BZ19" i="1"/>
  <c r="C16" i="4"/>
  <c r="BX24" i="4"/>
  <c r="BX23" i="4"/>
  <c r="BX22" i="4"/>
  <c r="BX21" i="4"/>
  <c r="O35" i="3"/>
  <c r="O24" i="3"/>
  <c r="O22" i="3"/>
  <c r="O21" i="3"/>
  <c r="O20" i="3"/>
  <c r="BZ26" i="3"/>
  <c r="BZ25" i="3"/>
  <c r="BZ24" i="3"/>
  <c r="BZ23" i="3"/>
  <c r="C18" i="3"/>
  <c r="G26" i="3"/>
  <c r="G25" i="3"/>
  <c r="G24" i="3"/>
  <c r="G23" i="3"/>
  <c r="G22" i="3"/>
  <c r="J181" i="9"/>
  <c r="CA27" i="5"/>
  <c r="CA28" i="5"/>
  <c r="CA29" i="5"/>
  <c r="CA30" i="5"/>
  <c r="C24" i="5"/>
  <c r="D24" i="5"/>
  <c r="K7" i="9"/>
  <c r="J7" i="9"/>
  <c r="O7" i="9"/>
  <c r="O6" i="9"/>
  <c r="O9" i="9"/>
  <c r="K9" i="9"/>
  <c r="J9" i="9"/>
  <c r="L14" i="4"/>
  <c r="BP14" i="4"/>
  <c r="BP27" i="4"/>
  <c r="BP40" i="4"/>
  <c r="BP53" i="4"/>
  <c r="O13" i="10"/>
  <c r="BR13" i="10"/>
  <c r="BR30" i="10"/>
  <c r="BR46" i="10"/>
  <c r="BT11" i="4" a="1"/>
  <c r="BT11" i="4"/>
  <c r="E22" i="3"/>
  <c r="BZ22" i="3"/>
  <c r="C32" i="3"/>
  <c r="R21" i="3"/>
  <c r="O31" i="3"/>
  <c r="O32" i="3"/>
  <c r="AY9" i="3"/>
  <c r="R33" i="3"/>
  <c r="R20" i="3"/>
  <c r="R35" i="3"/>
  <c r="R22" i="3"/>
  <c r="BM14" i="4"/>
  <c r="BM27" i="4"/>
  <c r="BM40" i="4"/>
  <c r="BM53" i="4"/>
  <c r="R22" i="4"/>
  <c r="O10" i="4"/>
  <c r="R10" i="4"/>
  <c r="BN17" i="10"/>
  <c r="BM17" i="10"/>
  <c r="BN11" i="10"/>
  <c r="BM11" i="10"/>
  <c r="BS15" i="5" a="1"/>
  <c r="BS15" i="5"/>
  <c r="H26" i="10"/>
  <c r="H28" i="10"/>
  <c r="H43" i="10"/>
  <c r="BN16" i="10"/>
  <c r="BN33" i="10"/>
  <c r="BN49" i="10"/>
  <c r="BN66" i="10"/>
  <c r="D21" i="10"/>
  <c r="BT10" i="1" a="1"/>
  <c r="BT10" i="1"/>
  <c r="BW11" i="10" a="1"/>
  <c r="BW11" i="10"/>
  <c r="BT12" i="1" a="1"/>
  <c r="BT12" i="1"/>
  <c r="BW13" i="10" a="1"/>
  <c r="BW13" i="10"/>
  <c r="BS12" i="5" a="1"/>
  <c r="BS12" i="5"/>
  <c r="BT9" i="1" a="1"/>
  <c r="BT9" i="1"/>
  <c r="BW9" i="10" a="1"/>
  <c r="BW9" i="10"/>
  <c r="BT9" i="3" a="1"/>
  <c r="BT9" i="3"/>
  <c r="R9" i="3"/>
  <c r="BS9" i="5" a="1"/>
  <c r="BS9" i="5"/>
  <c r="BT9" i="4" a="1"/>
  <c r="BT9" i="4"/>
  <c r="BW15" i="10" a="1"/>
  <c r="BW15" i="10"/>
  <c r="BT10" i="3" a="1"/>
  <c r="BT10" i="3"/>
  <c r="AH10" i="3"/>
  <c r="BT13" i="1" a="1"/>
  <c r="BT13" i="1"/>
  <c r="BS14" i="5" a="1"/>
  <c r="BS14" i="5"/>
  <c r="P31" i="10"/>
  <c r="S31" i="10"/>
  <c r="P46" i="10"/>
  <c r="S45" i="10"/>
  <c r="O15" i="10"/>
  <c r="T14" i="1"/>
  <c r="BT14" i="1" a="1"/>
  <c r="BT14" i="1"/>
  <c r="K11" i="3"/>
  <c r="BT11" i="3" a="1"/>
  <c r="BT11" i="3"/>
  <c r="BP11" i="3"/>
  <c r="BP21" i="3"/>
  <c r="BP32" i="3"/>
  <c r="BP43" i="3"/>
  <c r="BT14" i="4" a="1"/>
  <c r="BT14" i="4"/>
  <c r="S15" i="5"/>
  <c r="N11" i="4"/>
  <c r="BM11" i="4"/>
  <c r="BL11" i="4"/>
  <c r="BK11" i="4"/>
  <c r="AF11" i="4"/>
  <c r="AT11" i="4"/>
  <c r="AY12" i="3"/>
  <c r="O12" i="3"/>
  <c r="R12" i="3"/>
  <c r="N14" i="4"/>
  <c r="N12" i="3"/>
  <c r="BO12" i="3"/>
  <c r="AY16" i="4"/>
  <c r="AY13" i="3"/>
  <c r="O15" i="4"/>
  <c r="R15" i="4"/>
  <c r="AY14" i="4"/>
  <c r="N11" i="3"/>
  <c r="N15" i="4"/>
  <c r="BO15" i="4"/>
  <c r="O34" i="4"/>
  <c r="R34" i="4"/>
  <c r="O30" i="4"/>
  <c r="R30" i="4"/>
  <c r="R31" i="1"/>
  <c r="BZ18" i="1"/>
  <c r="C24" i="1" s="1"/>
  <c r="E24" i="1" s="1"/>
  <c r="T11" i="3"/>
  <c r="F24" i="4"/>
  <c r="AY42" i="4"/>
  <c r="L13" i="4"/>
  <c r="BM13" i="4"/>
  <c r="BM26" i="4"/>
  <c r="BM39" i="4"/>
  <c r="BM52" i="4"/>
  <c r="F22" i="4"/>
  <c r="AY40" i="4"/>
  <c r="O9" i="4"/>
  <c r="AY38" i="4"/>
  <c r="F23" i="4"/>
  <c r="AY41" i="4"/>
  <c r="F21" i="4"/>
  <c r="H21" i="4"/>
  <c r="O11" i="4"/>
  <c r="R11" i="4"/>
  <c r="R23" i="4"/>
  <c r="N10" i="4"/>
  <c r="BM10" i="4"/>
  <c r="BM23" i="4"/>
  <c r="BM36" i="4"/>
  <c r="BM49" i="4"/>
  <c r="AY9" i="4"/>
  <c r="L12" i="4"/>
  <c r="R31" i="4"/>
  <c r="K14" i="4"/>
  <c r="T14" i="4"/>
  <c r="E40" i="10"/>
  <c r="CE39" i="10"/>
  <c r="E25" i="10"/>
  <c r="CE24" i="10"/>
  <c r="C33" i="10"/>
  <c r="BV56" i="1"/>
  <c r="BV70" i="3"/>
  <c r="BV66" i="3"/>
  <c r="BV65" i="3"/>
  <c r="F22" i="3"/>
  <c r="AY11" i="3"/>
  <c r="F23" i="3"/>
  <c r="R34" i="3"/>
  <c r="F26" i="3"/>
  <c r="F24" i="3"/>
  <c r="F25" i="3"/>
  <c r="L10" i="3"/>
  <c r="BK9" i="4"/>
  <c r="BX20" i="4"/>
  <c r="H20" i="4"/>
  <c r="AY48" i="4"/>
  <c r="AY47" i="4"/>
  <c r="BV54" i="1"/>
  <c r="BV68" i="3"/>
  <c r="BV67" i="3"/>
  <c r="BV69" i="3"/>
  <c r="BV57" i="1"/>
  <c r="AY53" i="4"/>
  <c r="AY51" i="4"/>
  <c r="O40" i="5"/>
  <c r="O42" i="5" s="1"/>
  <c r="Q92" i="5" s="1"/>
  <c r="H44" i="10"/>
  <c r="BN12" i="10"/>
  <c r="BN29" i="10"/>
  <c r="BN45" i="10"/>
  <c r="BN62" i="10"/>
  <c r="BN30" i="10"/>
  <c r="BN46" i="10"/>
  <c r="BN63" i="10"/>
  <c r="BM13" i="10"/>
  <c r="BM30" i="10"/>
  <c r="P28" i="10"/>
  <c r="S28" i="10"/>
  <c r="P27" i="10"/>
  <c r="S27" i="10"/>
  <c r="AZ44" i="10"/>
  <c r="AZ54" i="10"/>
  <c r="AZ15" i="10"/>
  <c r="H27" i="10"/>
  <c r="BN31" i="10"/>
  <c r="BN47" i="10"/>
  <c r="BN64" i="10"/>
  <c r="BM14" i="10"/>
  <c r="BM31" i="10"/>
  <c r="BM47" i="10"/>
  <c r="BM64" i="10"/>
  <c r="AZ51" i="10"/>
  <c r="H41" i="10"/>
  <c r="O11" i="10"/>
  <c r="BR11" i="10"/>
  <c r="F42" i="10"/>
  <c r="P41" i="10"/>
  <c r="P42" i="10"/>
  <c r="S42" i="10"/>
  <c r="AZ9" i="10"/>
  <c r="P9" i="10"/>
  <c r="M10" i="10"/>
  <c r="AZ17" i="10"/>
  <c r="BV72" i="3"/>
  <c r="R36" i="4"/>
  <c r="BV51" i="1"/>
  <c r="BV53" i="1"/>
  <c r="BV58" i="1"/>
  <c r="BN18" i="10"/>
  <c r="BN35" i="10"/>
  <c r="BN51" i="10"/>
  <c r="BN68" i="10"/>
  <c r="U18" i="10"/>
  <c r="U17" i="10"/>
  <c r="BQ18" i="10"/>
  <c r="BP18" i="10"/>
  <c r="BP35" i="10"/>
  <c r="BP51" i="10"/>
  <c r="BP68" i="10"/>
  <c r="BP17" i="10"/>
  <c r="O17" i="10"/>
  <c r="AZ19" i="10"/>
  <c r="AZ20" i="10"/>
  <c r="R25" i="3"/>
  <c r="R25" i="4"/>
  <c r="R24" i="4"/>
  <c r="S43" i="10"/>
  <c r="Q40" i="5"/>
  <c r="S32" i="10"/>
  <c r="Q25" i="5"/>
  <c r="S29" i="10"/>
  <c r="R38" i="4"/>
  <c r="R24" i="3"/>
  <c r="R29" i="4"/>
  <c r="R26" i="3"/>
  <c r="R32" i="4"/>
  <c r="S34" i="10"/>
  <c r="Q42" i="5"/>
  <c r="S25" i="10"/>
  <c r="R27" i="4"/>
  <c r="J167" i="9"/>
  <c r="R31" i="3"/>
  <c r="R29" i="3"/>
  <c r="S39" i="10"/>
  <c r="R28" i="1"/>
  <c r="Q37" i="5"/>
  <c r="S26" i="10"/>
  <c r="R23" i="3"/>
  <c r="R28" i="4"/>
  <c r="S30" i="10"/>
  <c r="S33" i="10"/>
  <c r="R32" i="3"/>
  <c r="R37" i="4"/>
  <c r="R29" i="1"/>
  <c r="S40" i="10"/>
  <c r="R35" i="4"/>
  <c r="R30" i="3"/>
  <c r="R28" i="3"/>
  <c r="H29" i="10"/>
  <c r="AZ45" i="10"/>
  <c r="P36" i="10"/>
  <c r="S36" i="10"/>
  <c r="BN15" i="10"/>
  <c r="AZ43" i="10"/>
  <c r="AY39" i="4"/>
  <c r="AY15" i="4"/>
  <c r="AF9" i="4"/>
  <c r="BK22" i="4"/>
  <c r="BK35" i="4"/>
  <c r="BK48" i="4"/>
  <c r="C28" i="3"/>
  <c r="E28" i="3"/>
  <c r="BE12" i="3"/>
  <c r="H24" i="4"/>
  <c r="AY43" i="4"/>
  <c r="H22" i="4"/>
  <c r="BN28" i="10"/>
  <c r="BN44" i="10"/>
  <c r="BN61" i="10"/>
  <c r="BM46" i="10"/>
  <c r="BQ19" i="10"/>
  <c r="BP19" i="10"/>
  <c r="BF17" i="10"/>
  <c r="BC17" i="10"/>
  <c r="BN34" i="10"/>
  <c r="BN50" i="10"/>
  <c r="BN67" i="10"/>
  <c r="BM28" i="10"/>
  <c r="BR63" i="10"/>
  <c r="BM16" i="10"/>
  <c r="BM33" i="10"/>
  <c r="BM49" i="10"/>
  <c r="BM66" i="10"/>
  <c r="BP13" i="10"/>
  <c r="S9" i="10"/>
  <c r="AZ50" i="10"/>
  <c r="BM18" i="10"/>
  <c r="BM35" i="10"/>
  <c r="BM51" i="10"/>
  <c r="BM68" i="10"/>
  <c r="R9" i="4"/>
  <c r="AH9" i="4"/>
  <c r="BL24" i="4"/>
  <c r="BE24" i="4"/>
  <c r="BM24" i="4"/>
  <c r="BM37" i="4"/>
  <c r="BM50" i="4"/>
  <c r="BO11" i="3"/>
  <c r="BK11" i="3"/>
  <c r="BL11" i="3"/>
  <c r="BJ11" i="3"/>
  <c r="BO14" i="4"/>
  <c r="BK14" i="4"/>
  <c r="AF14" i="4"/>
  <c r="AT14" i="4"/>
  <c r="BL14" i="4"/>
  <c r="BJ14" i="4"/>
  <c r="AE14" i="4"/>
  <c r="AS14" i="4"/>
  <c r="BE11" i="4"/>
  <c r="BO22" i="3"/>
  <c r="BK22" i="3"/>
  <c r="BP12" i="3"/>
  <c r="BP22" i="3"/>
  <c r="BP15" i="4"/>
  <c r="BP28" i="4"/>
  <c r="BP41" i="4"/>
  <c r="BP54" i="4"/>
  <c r="BE22" i="3"/>
  <c r="R30" i="1"/>
  <c r="O33" i="4"/>
  <c r="R33" i="4"/>
  <c r="R39" i="4"/>
  <c r="N13" i="4"/>
  <c r="BL13" i="4"/>
  <c r="AY13" i="4"/>
  <c r="AY17" i="4"/>
  <c r="AY18" i="4"/>
  <c r="H23" i="4"/>
  <c r="BO28" i="4"/>
  <c r="BE15" i="4"/>
  <c r="Z15" i="4"/>
  <c r="AN15" i="4"/>
  <c r="O12" i="4"/>
  <c r="R12" i="4"/>
  <c r="N12" i="4"/>
  <c r="BL10" i="4"/>
  <c r="BJ10" i="4"/>
  <c r="AE10" i="4"/>
  <c r="AS10" i="4"/>
  <c r="H40" i="10"/>
  <c r="C46" i="10"/>
  <c r="D46" i="10"/>
  <c r="C48" i="10"/>
  <c r="S35" i="10"/>
  <c r="P38" i="10"/>
  <c r="S38" i="10"/>
  <c r="H22" i="3"/>
  <c r="O27" i="3"/>
  <c r="R27" i="3"/>
  <c r="R36" i="3"/>
  <c r="AY28" i="3"/>
  <c r="AY31" i="3"/>
  <c r="H25" i="3"/>
  <c r="AY32" i="3"/>
  <c r="H26" i="3"/>
  <c r="AY10" i="3"/>
  <c r="AY14" i="3"/>
  <c r="N10" i="3"/>
  <c r="BM10" i="3"/>
  <c r="AY30" i="3"/>
  <c r="H24" i="3"/>
  <c r="AY29" i="3"/>
  <c r="H23" i="3"/>
  <c r="C30" i="4"/>
  <c r="C26" i="4"/>
  <c r="E26" i="4"/>
  <c r="BM12" i="10"/>
  <c r="P37" i="10"/>
  <c r="S37" i="10"/>
  <c r="H25" i="10"/>
  <c r="H30" i="10"/>
  <c r="C31" i="10"/>
  <c r="D31" i="10"/>
  <c r="AZ41" i="10"/>
  <c r="AZ46" i="10"/>
  <c r="S41" i="10"/>
  <c r="BQ35" i="10"/>
  <c r="BQ51" i="10"/>
  <c r="BQ68" i="10"/>
  <c r="BR28" i="10"/>
  <c r="AZ52" i="10"/>
  <c r="H42" i="10"/>
  <c r="P10" i="10"/>
  <c r="S10" i="10"/>
  <c r="AZ10" i="10"/>
  <c r="AZ22" i="10"/>
  <c r="BL9" i="10"/>
  <c r="BP34" i="10"/>
  <c r="BQ36" i="10"/>
  <c r="BP36" i="10"/>
  <c r="BM34" i="10"/>
  <c r="BM15" i="10"/>
  <c r="BN32" i="10"/>
  <c r="BN48" i="10"/>
  <c r="BN65" i="10"/>
  <c r="BK28" i="4"/>
  <c r="BO41" i="4"/>
  <c r="H25" i="4"/>
  <c r="BK15" i="4"/>
  <c r="AF15" i="4"/>
  <c r="AT15" i="4"/>
  <c r="AU15" i="4"/>
  <c r="AG15" i="4"/>
  <c r="H40" i="4"/>
  <c r="BF13" i="4"/>
  <c r="AA13" i="4"/>
  <c r="AO13" i="4"/>
  <c r="BJ13" i="4"/>
  <c r="AE13" i="4"/>
  <c r="AS13" i="4"/>
  <c r="Z11" i="4"/>
  <c r="AN11" i="4"/>
  <c r="AU11" i="4"/>
  <c r="AG11" i="4"/>
  <c r="BL37" i="4"/>
  <c r="BK24" i="4"/>
  <c r="BE34" i="10"/>
  <c r="BK12" i="3"/>
  <c r="BM44" i="10"/>
  <c r="BP30" i="10"/>
  <c r="BK30" i="10"/>
  <c r="BK13" i="10"/>
  <c r="BM63" i="10"/>
  <c r="BN19" i="10"/>
  <c r="BM19" i="10"/>
  <c r="BL67" i="10"/>
  <c r="BL34" i="10"/>
  <c r="BL50" i="10"/>
  <c r="BN36" i="10"/>
  <c r="BM36" i="10"/>
  <c r="BI34" i="10"/>
  <c r="BH34" i="10"/>
  <c r="BH67" i="10"/>
  <c r="BL17" i="10"/>
  <c r="BH17" i="10"/>
  <c r="BC34" i="10"/>
  <c r="BF34" i="10"/>
  <c r="BL26" i="10"/>
  <c r="AG9" i="10"/>
  <c r="BR44" i="10"/>
  <c r="BB34" i="10"/>
  <c r="W17" i="10"/>
  <c r="AK17" i="10"/>
  <c r="BD17" i="10"/>
  <c r="Y17" i="10"/>
  <c r="AM17" i="10"/>
  <c r="AD17" i="10"/>
  <c r="AR17" i="10"/>
  <c r="BA17" i="10"/>
  <c r="V17" i="10"/>
  <c r="AJ17" i="10"/>
  <c r="BP50" i="10"/>
  <c r="BM50" i="10"/>
  <c r="AI9" i="10"/>
  <c r="P15" i="10"/>
  <c r="S15" i="10"/>
  <c r="P17" i="10"/>
  <c r="S17" i="10"/>
  <c r="BE13" i="10"/>
  <c r="AZ55" i="10"/>
  <c r="H47" i="10"/>
  <c r="AZ13" i="4"/>
  <c r="U13" i="4"/>
  <c r="O13" i="4"/>
  <c r="R13" i="4"/>
  <c r="AZ21" i="10"/>
  <c r="H32" i="10"/>
  <c r="H45" i="10"/>
  <c r="AZ11" i="3"/>
  <c r="U11" i="3"/>
  <c r="BL21" i="3"/>
  <c r="BL32" i="3"/>
  <c r="BC11" i="3"/>
  <c r="BF11" i="3"/>
  <c r="O11" i="3"/>
  <c r="R11" i="3"/>
  <c r="BI11" i="3"/>
  <c r="BO21" i="3"/>
  <c r="BO32" i="3"/>
  <c r="BE11" i="3"/>
  <c r="BG11" i="3"/>
  <c r="BB11" i="3"/>
  <c r="W11" i="3"/>
  <c r="BL27" i="4"/>
  <c r="O14" i="4"/>
  <c r="R14" i="4"/>
  <c r="BF14" i="4"/>
  <c r="AA14" i="4"/>
  <c r="AO14" i="4"/>
  <c r="AZ14" i="4"/>
  <c r="U14" i="4"/>
  <c r="BI14" i="4"/>
  <c r="AD14" i="4"/>
  <c r="AR14" i="4"/>
  <c r="BC14" i="4"/>
  <c r="X14" i="4"/>
  <c r="AL14" i="4"/>
  <c r="BO27" i="4"/>
  <c r="BE14" i="4"/>
  <c r="Z14" i="4"/>
  <c r="AN14" i="4"/>
  <c r="BG14" i="4"/>
  <c r="AB14" i="4"/>
  <c r="AP14" i="4"/>
  <c r="BB14" i="4"/>
  <c r="W14" i="4"/>
  <c r="AY15" i="3"/>
  <c r="BC13" i="4"/>
  <c r="X13" i="4"/>
  <c r="AL13" i="4"/>
  <c r="BI13" i="4"/>
  <c r="AD13" i="4"/>
  <c r="AR13" i="4"/>
  <c r="BL26" i="4"/>
  <c r="BD10" i="4"/>
  <c r="Y10" i="4"/>
  <c r="AM10" i="4"/>
  <c r="AU10" i="4"/>
  <c r="AG10" i="4"/>
  <c r="BL23" i="4"/>
  <c r="BE28" i="4"/>
  <c r="BM12" i="4"/>
  <c r="BM25" i="4"/>
  <c r="BM38" i="4"/>
  <c r="BM51" i="4"/>
  <c r="AH9" i="3"/>
  <c r="S46" i="10"/>
  <c r="BL10" i="3"/>
  <c r="BM20" i="3"/>
  <c r="AY33" i="3"/>
  <c r="H27" i="3"/>
  <c r="BM29" i="10"/>
  <c r="BM45" i="10"/>
  <c r="BM62" i="10"/>
  <c r="BP11" i="10"/>
  <c r="BE11" i="10"/>
  <c r="BL10" i="10"/>
  <c r="BD15" i="10"/>
  <c r="Y15" i="10"/>
  <c r="AM15" i="10"/>
  <c r="BJ15" i="10"/>
  <c r="AE15" i="10"/>
  <c r="AS15" i="10"/>
  <c r="BM32" i="10"/>
  <c r="BM48" i="10"/>
  <c r="BP15" i="10"/>
  <c r="BK15" i="10"/>
  <c r="BA15" i="10"/>
  <c r="V15" i="10"/>
  <c r="BG15" i="10"/>
  <c r="AB15" i="10"/>
  <c r="AP15" i="10"/>
  <c r="AH15" i="4"/>
  <c r="BK41" i="4"/>
  <c r="BO54" i="4"/>
  <c r="BE41" i="4"/>
  <c r="AI13" i="4"/>
  <c r="AU13" i="4"/>
  <c r="AG13" i="4"/>
  <c r="AH13" i="4"/>
  <c r="BL36" i="4"/>
  <c r="BJ23" i="4"/>
  <c r="AH11" i="4"/>
  <c r="BD26" i="4"/>
  <c r="BJ26" i="4"/>
  <c r="BL39" i="4"/>
  <c r="BK37" i="4"/>
  <c r="BL50" i="4"/>
  <c r="BE37" i="4"/>
  <c r="BK67" i="10"/>
  <c r="BK34" i="10"/>
  <c r="BK50" i="10"/>
  <c r="BK17" i="10"/>
  <c r="BA27" i="4"/>
  <c r="BJ27" i="4"/>
  <c r="BH27" i="4"/>
  <c r="BD27" i="4"/>
  <c r="BB27" i="4"/>
  <c r="BE27" i="4"/>
  <c r="BK27" i="4"/>
  <c r="BG27" i="4"/>
  <c r="X11" i="3"/>
  <c r="AL11" i="3"/>
  <c r="AD11" i="3"/>
  <c r="AR11" i="3"/>
  <c r="AB11" i="3"/>
  <c r="AP11" i="3"/>
  <c r="AA11" i="3"/>
  <c r="AO11" i="3"/>
  <c r="V14" i="1"/>
  <c r="AJ14" i="1" s="1"/>
  <c r="BE32" i="3"/>
  <c r="Z11" i="3"/>
  <c r="BK32" i="3"/>
  <c r="AF11" i="3"/>
  <c r="AT11" i="3"/>
  <c r="BD32" i="3"/>
  <c r="Y11" i="3"/>
  <c r="AM11" i="3"/>
  <c r="BJ32" i="3"/>
  <c r="AE11" i="3"/>
  <c r="AS11" i="3"/>
  <c r="AN11" i="3"/>
  <c r="AI11" i="3"/>
  <c r="BO43" i="3"/>
  <c r="AK11" i="3"/>
  <c r="BL43" i="3"/>
  <c r="BE21" i="3"/>
  <c r="BK21" i="3"/>
  <c r="BG21" i="3"/>
  <c r="BB21" i="3"/>
  <c r="O10" i="3"/>
  <c r="R10" i="3"/>
  <c r="R13" i="3"/>
  <c r="R38" i="3"/>
  <c r="BJ10" i="3"/>
  <c r="BA21" i="3"/>
  <c r="BD21" i="3"/>
  <c r="BJ21" i="3"/>
  <c r="BH21" i="3"/>
  <c r="BL40" i="4"/>
  <c r="AI14" i="4"/>
  <c r="BO40" i="4"/>
  <c r="AW15" i="4"/>
  <c r="AK14" i="4"/>
  <c r="BP46" i="10"/>
  <c r="BK46" i="10"/>
  <c r="BE30" i="10"/>
  <c r="BM61" i="10"/>
  <c r="BE50" i="10"/>
  <c r="BN52" i="10"/>
  <c r="BM52" i="10"/>
  <c r="BF50" i="10"/>
  <c r="BQ52" i="10"/>
  <c r="BP52" i="10"/>
  <c r="BG17" i="10"/>
  <c r="AB17" i="10"/>
  <c r="AP17" i="10"/>
  <c r="BJ17" i="10"/>
  <c r="AE17" i="10"/>
  <c r="AS17" i="10"/>
  <c r="BL42" i="10"/>
  <c r="BL59" i="10"/>
  <c r="AG10" i="10"/>
  <c r="BL27" i="10"/>
  <c r="BK11" i="10"/>
  <c r="BR61" i="10"/>
  <c r="BE48" i="10"/>
  <c r="BM65" i="10"/>
  <c r="AJ15" i="10"/>
  <c r="BP67" i="10"/>
  <c r="BQ69" i="10"/>
  <c r="BP69" i="10"/>
  <c r="BM67" i="10"/>
  <c r="X14" i="5"/>
  <c r="AL14" i="5" s="1"/>
  <c r="BH26" i="4"/>
  <c r="BA26" i="4"/>
  <c r="AH10" i="4"/>
  <c r="AH12" i="3"/>
  <c r="BR11" i="3"/>
  <c r="R16" i="4"/>
  <c r="R41" i="4"/>
  <c r="H37" i="3"/>
  <c r="BL12" i="4"/>
  <c r="BD23" i="4"/>
  <c r="BF10" i="3"/>
  <c r="BL20" i="3"/>
  <c r="BJ20" i="3"/>
  <c r="BC10" i="3"/>
  <c r="AZ10" i="3"/>
  <c r="BI10" i="3"/>
  <c r="BP28" i="10"/>
  <c r="AI10" i="10"/>
  <c r="BE32" i="10"/>
  <c r="BP32" i="10"/>
  <c r="BB32" i="10"/>
  <c r="BI32" i="10"/>
  <c r="BK54" i="4"/>
  <c r="BE54" i="4"/>
  <c r="BL49" i="4"/>
  <c r="BJ36" i="4"/>
  <c r="BD36" i="4"/>
  <c r="BK50" i="4"/>
  <c r="BE50" i="4"/>
  <c r="BD39" i="4"/>
  <c r="BL52" i="4"/>
  <c r="BJ39" i="4"/>
  <c r="BL25" i="4"/>
  <c r="BJ12" i="4"/>
  <c r="AE12" i="4"/>
  <c r="AS12" i="4"/>
  <c r="BE46" i="10"/>
  <c r="BP63" i="10"/>
  <c r="BE63" i="10"/>
  <c r="Z13" i="10"/>
  <c r="AN13" i="10"/>
  <c r="BJ40" i="4"/>
  <c r="BD40" i="4"/>
  <c r="BE40" i="4"/>
  <c r="BK40" i="4"/>
  <c r="AW12" i="3"/>
  <c r="AC14" i="1"/>
  <c r="AQ14" i="1" s="1"/>
  <c r="BQ11" i="3"/>
  <c r="AV12" i="3"/>
  <c r="AH11" i="3"/>
  <c r="AH13" i="3"/>
  <c r="AH15" i="3"/>
  <c r="BK43" i="3"/>
  <c r="BB43" i="3"/>
  <c r="BG43" i="3"/>
  <c r="BE43" i="3"/>
  <c r="BJ43" i="3"/>
  <c r="BD43" i="3"/>
  <c r="AU11" i="3"/>
  <c r="AG11" i="3"/>
  <c r="BL53" i="4"/>
  <c r="BO53" i="4"/>
  <c r="BE28" i="10"/>
  <c r="BK28" i="10"/>
  <c r="BP48" i="10"/>
  <c r="BK48" i="10"/>
  <c r="BK32" i="10"/>
  <c r="BK63" i="10"/>
  <c r="AF13" i="10"/>
  <c r="AI13" i="10"/>
  <c r="BN69" i="10"/>
  <c r="BM69" i="10"/>
  <c r="BF67" i="10"/>
  <c r="AA17" i="10"/>
  <c r="AO17" i="10"/>
  <c r="BC67" i="10"/>
  <c r="BL43" i="10"/>
  <c r="BL60" i="10"/>
  <c r="BE65" i="10"/>
  <c r="Z15" i="10"/>
  <c r="AN15" i="10"/>
  <c r="BP65" i="10"/>
  <c r="BK65" i="10"/>
  <c r="AF15" i="10"/>
  <c r="AT15" i="10"/>
  <c r="BR67" i="10"/>
  <c r="BE67" i="10"/>
  <c r="Z17" i="10"/>
  <c r="AN17" i="10"/>
  <c r="BP44" i="10"/>
  <c r="AF17" i="10"/>
  <c r="AT17" i="10"/>
  <c r="BS67" i="10"/>
  <c r="X17" i="10"/>
  <c r="AC17" i="10"/>
  <c r="AQ17" i="10"/>
  <c r="BR21" i="3"/>
  <c r="BR32" i="3"/>
  <c r="BR43" i="3"/>
  <c r="BQ21" i="3"/>
  <c r="BD12" i="4"/>
  <c r="Y12" i="4"/>
  <c r="AM12" i="4"/>
  <c r="BD25" i="4"/>
  <c r="BA20" i="3"/>
  <c r="BH20" i="3"/>
  <c r="BD20" i="3"/>
  <c r="AU12" i="4"/>
  <c r="AG12" i="4"/>
  <c r="BJ52" i="4"/>
  <c r="BD52" i="4"/>
  <c r="BL38" i="4"/>
  <c r="BJ25" i="4"/>
  <c r="BJ49" i="4"/>
  <c r="BD49" i="4"/>
  <c r="BG53" i="4"/>
  <c r="BK53" i="4"/>
  <c r="BE53" i="4"/>
  <c r="BB53" i="4"/>
  <c r="BJ53" i="4"/>
  <c r="BD53" i="4"/>
  <c r="Y14" i="4"/>
  <c r="Y14" i="1"/>
  <c r="AM14" i="1" s="1"/>
  <c r="BQ32" i="3"/>
  <c r="BQ43" i="3"/>
  <c r="AV15" i="10"/>
  <c r="AH15" i="10"/>
  <c r="BE44" i="10"/>
  <c r="BK44" i="10"/>
  <c r="AI15" i="10"/>
  <c r="AT13" i="10"/>
  <c r="AV13" i="10"/>
  <c r="AH13" i="10"/>
  <c r="P13" i="10"/>
  <c r="S13" i="10"/>
  <c r="AG17" i="10"/>
  <c r="AU17" i="10"/>
  <c r="BP61" i="10"/>
  <c r="AW18" i="10"/>
  <c r="AL17" i="10"/>
  <c r="AH12" i="4"/>
  <c r="AH15" i="1"/>
  <c r="BE28" i="1"/>
  <c r="BJ38" i="4"/>
  <c r="BL51" i="4"/>
  <c r="BD38" i="4"/>
  <c r="AM14" i="4"/>
  <c r="AU14" i="4"/>
  <c r="AG14" i="4"/>
  <c r="AV15" i="4"/>
  <c r="AH14" i="4"/>
  <c r="AH16" i="4"/>
  <c r="AH18" i="4"/>
  <c r="BE61" i="10"/>
  <c r="Z11" i="10"/>
  <c r="BK61" i="10"/>
  <c r="AF11" i="10"/>
  <c r="AV17" i="10"/>
  <c r="AH17" i="10"/>
  <c r="AX18" i="10"/>
  <c r="AI17" i="10"/>
  <c r="X15" i="5"/>
  <c r="AL15" i="5" s="1"/>
  <c r="BJ51" i="4"/>
  <c r="BD51" i="4"/>
  <c r="AT11" i="10"/>
  <c r="P11" i="10"/>
  <c r="S11" i="10"/>
  <c r="S19" i="10"/>
  <c r="S48" i="10"/>
  <c r="AN11" i="10"/>
  <c r="AI11" i="10"/>
  <c r="AI19" i="10"/>
  <c r="AI21" i="10"/>
  <c r="AV11" i="10"/>
  <c r="AH11" i="10"/>
  <c r="C26" i="1" l="1"/>
  <c r="O34" i="5"/>
  <c r="Q32" i="5" s="1"/>
  <c r="O25" i="5"/>
  <c r="Q24" i="5" s="1"/>
  <c r="E28" i="5"/>
  <c r="CA26" i="5" s="1"/>
  <c r="C34" i="5" s="1"/>
  <c r="D34" i="5" s="1"/>
  <c r="L17" i="5"/>
  <c r="BM10" i="1"/>
  <c r="BL10" i="1" s="1"/>
  <c r="L11" i="1"/>
  <c r="N11" i="1" s="1"/>
  <c r="O25" i="1"/>
  <c r="R24" i="1" s="1"/>
  <c r="AY9" i="1"/>
  <c r="AY15" i="1"/>
  <c r="O9" i="1"/>
  <c r="O15" i="1" s="1"/>
  <c r="R15" i="1" s="1"/>
  <c r="N14" i="1"/>
  <c r="AY16" i="1"/>
  <c r="BE14" i="1"/>
  <c r="Z14" i="1" s="1"/>
  <c r="AN14" i="1" s="1"/>
  <c r="N16" i="1"/>
  <c r="BL16" i="1" s="1"/>
  <c r="BG14" i="1"/>
  <c r="AB14" i="1" s="1"/>
  <c r="AP14" i="1" s="1"/>
  <c r="BO27" i="1"/>
  <c r="F19" i="1"/>
  <c r="H19" i="1" s="1"/>
  <c r="BI14" i="1"/>
  <c r="AD14" i="1" s="1"/>
  <c r="AR14" i="1" s="1"/>
  <c r="BF14" i="1"/>
  <c r="AA14" i="1" s="1"/>
  <c r="AO14" i="1" s="1"/>
  <c r="BL27" i="1"/>
  <c r="BC14" i="1"/>
  <c r="X14" i="1" s="1"/>
  <c r="AL14" i="1" s="1"/>
  <c r="O14" i="1"/>
  <c r="R14" i="1" s="1"/>
  <c r="BM27" i="1"/>
  <c r="BK14" i="1"/>
  <c r="AF14" i="1" s="1"/>
  <c r="AT14" i="1" s="1"/>
  <c r="F21" i="1"/>
  <c r="BJ14" i="1"/>
  <c r="AE14" i="1" s="1"/>
  <c r="AS14" i="1" s="1"/>
  <c r="O16" i="1"/>
  <c r="F18" i="1"/>
  <c r="AI14" i="1"/>
  <c r="H20" i="1"/>
  <c r="AY39" i="1"/>
  <c r="BP57" i="1"/>
  <c r="F22" i="1"/>
  <c r="L12" i="1"/>
  <c r="AY15" i="5"/>
  <c r="T15" i="5" s="1"/>
  <c r="AH15" i="5" s="1"/>
  <c r="O32" i="5"/>
  <c r="Q30" i="5" s="1"/>
  <c r="BF15" i="5"/>
  <c r="AA15" i="5" s="1"/>
  <c r="AO15" i="5" s="1"/>
  <c r="BN27" i="5"/>
  <c r="BN39" i="5" s="1"/>
  <c r="BN50" i="5" s="1"/>
  <c r="L13" i="5"/>
  <c r="L14" i="5" s="1"/>
  <c r="F29" i="5"/>
  <c r="H29" i="5" s="1"/>
  <c r="BL12" i="5"/>
  <c r="BL24" i="5" s="1"/>
  <c r="L9" i="5"/>
  <c r="F30" i="5"/>
  <c r="H30" i="5" s="1"/>
  <c r="L16" i="5"/>
  <c r="O28" i="5"/>
  <c r="Q27" i="5" s="1"/>
  <c r="O31" i="5"/>
  <c r="BI15" i="5"/>
  <c r="AD15" i="5" s="1"/>
  <c r="AR15" i="5" s="1"/>
  <c r="BA15" i="5"/>
  <c r="V15" i="5" s="1"/>
  <c r="AJ15" i="5" s="1"/>
  <c r="BK27" i="5"/>
  <c r="BC27" i="5" s="1"/>
  <c r="BL50" i="5"/>
  <c r="Q39" i="5"/>
  <c r="BL10" i="5"/>
  <c r="BL22" i="5" s="1"/>
  <c r="F31" i="5"/>
  <c r="AX35" i="5" s="1"/>
  <c r="N10" i="5"/>
  <c r="O22" i="5"/>
  <c r="Q21" i="5" s="1"/>
  <c r="O18" i="5"/>
  <c r="BO39" i="5"/>
  <c r="BO50" i="5" s="1"/>
  <c r="N11" i="5"/>
  <c r="AX17" i="5"/>
  <c r="BJ15" i="5"/>
  <c r="AE15" i="5" s="1"/>
  <c r="AS15" i="5" s="1"/>
  <c r="Q29" i="5"/>
  <c r="O15" i="5"/>
  <c r="M9" i="5"/>
  <c r="BB15" i="5"/>
  <c r="W15" i="5" s="1"/>
  <c r="AK15" i="5" s="1"/>
  <c r="N18" i="5"/>
  <c r="M13" i="5"/>
  <c r="F28" i="5"/>
  <c r="F32" i="5"/>
  <c r="BE15" i="5"/>
  <c r="Z15" i="5" s="1"/>
  <c r="AN15" i="5" s="1"/>
  <c r="G28" i="5"/>
  <c r="M14" i="5"/>
  <c r="M15" i="5"/>
  <c r="AX15" i="5" s="1"/>
  <c r="M17" i="5" l="1"/>
  <c r="M16" i="5" s="1"/>
  <c r="C38" i="5"/>
  <c r="BL12" i="1"/>
  <c r="BM12" i="1"/>
  <c r="BL23" i="1"/>
  <c r="BJ10" i="1"/>
  <c r="AE10" i="1" s="1"/>
  <c r="AS10" i="1" s="1"/>
  <c r="BD10" i="1"/>
  <c r="Y10" i="1" s="1"/>
  <c r="O10" i="1"/>
  <c r="R10" i="1" s="1"/>
  <c r="BM23" i="1"/>
  <c r="BM38" i="1" s="1"/>
  <c r="BM53" i="1" s="1"/>
  <c r="R9" i="1"/>
  <c r="AH9" i="1" s="1"/>
  <c r="BK9" i="1"/>
  <c r="BK22" i="1"/>
  <c r="AF9" i="1"/>
  <c r="AY38" i="1"/>
  <c r="AU14" i="1"/>
  <c r="AG14" i="1" s="1"/>
  <c r="BB27" i="1"/>
  <c r="BO42" i="1"/>
  <c r="BG27" i="1"/>
  <c r="BE27" i="1"/>
  <c r="BK27" i="1"/>
  <c r="AV15" i="1"/>
  <c r="AH14" i="1" s="1"/>
  <c r="O28" i="1"/>
  <c r="R27" i="1" s="1"/>
  <c r="BL42" i="1"/>
  <c r="BA27" i="1"/>
  <c r="BD27" i="1"/>
  <c r="BH27" i="1"/>
  <c r="AW15" i="1"/>
  <c r="H21" i="1"/>
  <c r="AY40" i="1"/>
  <c r="BM42" i="1"/>
  <c r="BJ27" i="1"/>
  <c r="AY37" i="1"/>
  <c r="H18" i="1"/>
  <c r="AY41" i="1"/>
  <c r="H22" i="1"/>
  <c r="AY12" i="1"/>
  <c r="N12" i="1"/>
  <c r="L13" i="1"/>
  <c r="O27" i="1"/>
  <c r="R26" i="1" s="1"/>
  <c r="BD39" i="5"/>
  <c r="BF27" i="5"/>
  <c r="BA27" i="5"/>
  <c r="BD27" i="5"/>
  <c r="BJ27" i="5"/>
  <c r="AX34" i="5"/>
  <c r="O24" i="5"/>
  <c r="Q23" i="5" s="1"/>
  <c r="BK10" i="5"/>
  <c r="O10" i="5" s="1"/>
  <c r="Q10" i="5" s="1"/>
  <c r="N14" i="5"/>
  <c r="BK12" i="5"/>
  <c r="O11" i="5" s="1"/>
  <c r="AX33" i="5"/>
  <c r="BL36" i="5"/>
  <c r="BL47" i="5"/>
  <c r="BL45" i="5"/>
  <c r="H31" i="5"/>
  <c r="BG27" i="5"/>
  <c r="AZ27" i="5"/>
  <c r="BK39" i="5"/>
  <c r="BL34" i="5"/>
  <c r="BI27" i="5"/>
  <c r="AU16" i="5"/>
  <c r="AG15" i="5" s="1"/>
  <c r="AT15" i="5"/>
  <c r="AF15" i="5" s="1"/>
  <c r="H32" i="5"/>
  <c r="AX36" i="5"/>
  <c r="BA50" i="5"/>
  <c r="BD50" i="5"/>
  <c r="BJ50" i="5"/>
  <c r="BF50" i="5"/>
  <c r="AV16" i="5"/>
  <c r="O37" i="5"/>
  <c r="Q35" i="5" s="1"/>
  <c r="H28" i="5"/>
  <c r="H33" i="5" s="1"/>
  <c r="AX32" i="5"/>
  <c r="AX14" i="5"/>
  <c r="N15" i="5"/>
  <c r="N13" i="5"/>
  <c r="BL14" i="5"/>
  <c r="AX13" i="5"/>
  <c r="O35" i="5"/>
  <c r="Q33" i="5" s="1"/>
  <c r="O9" i="5"/>
  <c r="AX9" i="5"/>
  <c r="O38" i="5"/>
  <c r="Q36" i="5" s="1"/>
  <c r="BC12" i="5"/>
  <c r="BJ39" i="5"/>
  <c r="BK45" i="5" l="1"/>
  <c r="O41" i="5"/>
  <c r="AX16" i="5"/>
  <c r="AX18" i="5" s="1"/>
  <c r="O16" i="5"/>
  <c r="O17" i="5"/>
  <c r="BM25" i="1"/>
  <c r="BM40" i="1" s="1"/>
  <c r="BM55" i="1" s="1"/>
  <c r="O11" i="1"/>
  <c r="R12" i="1" s="1"/>
  <c r="R16" i="1" s="1"/>
  <c r="BJ23" i="1"/>
  <c r="BL38" i="1"/>
  <c r="BD23" i="1"/>
  <c r="AH10" i="1"/>
  <c r="AM10" i="1"/>
  <c r="AU10" i="1" s="1"/>
  <c r="AG10" i="1" s="1"/>
  <c r="BJ12" i="1"/>
  <c r="AE12" i="1" s="1"/>
  <c r="AS12" i="1" s="1"/>
  <c r="BL25" i="1"/>
  <c r="BD12" i="1"/>
  <c r="Y12" i="1" s="1"/>
  <c r="H23" i="1"/>
  <c r="BE42" i="1"/>
  <c r="BO57" i="1"/>
  <c r="BK42" i="1"/>
  <c r="R32" i="1"/>
  <c r="BD42" i="1"/>
  <c r="BL57" i="1"/>
  <c r="BD57" i="1" s="1"/>
  <c r="AY42" i="1"/>
  <c r="BM57" i="1"/>
  <c r="BJ42" i="1"/>
  <c r="BM13" i="1"/>
  <c r="AY13" i="1"/>
  <c r="AY18" i="1" s="1"/>
  <c r="N13" i="1"/>
  <c r="BK22" i="5"/>
  <c r="BK34" i="5"/>
  <c r="BC10" i="5"/>
  <c r="BC34" i="5" s="1"/>
  <c r="BI10" i="5"/>
  <c r="AD10" i="5" s="1"/>
  <c r="AR10" i="5" s="1"/>
  <c r="BK36" i="5"/>
  <c r="BK47" i="5"/>
  <c r="BK24" i="5"/>
  <c r="AX37" i="5"/>
  <c r="BI12" i="5"/>
  <c r="BI24" i="5" s="1"/>
  <c r="BK50" i="5"/>
  <c r="BC39" i="5"/>
  <c r="BI39" i="5"/>
  <c r="Q44" i="5"/>
  <c r="BC47" i="5"/>
  <c r="BC36" i="5"/>
  <c r="BC24" i="5"/>
  <c r="X12" i="5"/>
  <c r="BK14" i="5"/>
  <c r="O13" i="5" s="1"/>
  <c r="BJ9" i="5"/>
  <c r="Q9" i="5"/>
  <c r="BL26" i="5"/>
  <c r="BL38" i="5" s="1"/>
  <c r="BL49" i="5" s="1"/>
  <c r="BC45" i="5" l="1"/>
  <c r="X10" i="5"/>
  <c r="AL10" i="5" s="1"/>
  <c r="AT10" i="5" s="1"/>
  <c r="AF10" i="5" s="1"/>
  <c r="BI22" i="5"/>
  <c r="AM12" i="1"/>
  <c r="AU12" i="1" s="1"/>
  <c r="AG12" i="1" s="1"/>
  <c r="AH12" i="1"/>
  <c r="AH16" i="1" s="1"/>
  <c r="AH18" i="1" s="1"/>
  <c r="BJ25" i="1"/>
  <c r="BD25" i="1"/>
  <c r="BL40" i="1"/>
  <c r="BJ38" i="1"/>
  <c r="BL53" i="1"/>
  <c r="BD38" i="1"/>
  <c r="R34" i="1"/>
  <c r="BJ57" i="1"/>
  <c r="BB57" i="1"/>
  <c r="BE57" i="1"/>
  <c r="BK57" i="1"/>
  <c r="BG57" i="1"/>
  <c r="H27" i="1"/>
  <c r="BM26" i="1"/>
  <c r="BM41" i="1" s="1"/>
  <c r="BM56" i="1" s="1"/>
  <c r="BL13" i="1"/>
  <c r="BI34" i="5"/>
  <c r="BC22" i="5"/>
  <c r="BI45" i="5"/>
  <c r="BI36" i="5"/>
  <c r="BI47" i="5"/>
  <c r="H42" i="5"/>
  <c r="O14" i="5"/>
  <c r="AD12" i="5"/>
  <c r="AR12" i="5" s="1"/>
  <c r="BC50" i="5"/>
  <c r="BI50" i="5"/>
  <c r="AG9" i="5"/>
  <c r="Q16" i="5"/>
  <c r="Q46" i="5" s="1"/>
  <c r="AL12" i="5"/>
  <c r="BJ21" i="5"/>
  <c r="AE9" i="5"/>
  <c r="BJ33" i="5"/>
  <c r="BJ44" i="5"/>
  <c r="AG10" i="5"/>
  <c r="BE14" i="5"/>
  <c r="Z14" i="5" s="1"/>
  <c r="AN14" i="5" s="1"/>
  <c r="BK26" i="5"/>
  <c r="BI14" i="5"/>
  <c r="AD14" i="5" s="1"/>
  <c r="AR14" i="5" s="1"/>
  <c r="BH14" i="5"/>
  <c r="AC14" i="5" s="1"/>
  <c r="AQ14" i="5" s="1"/>
  <c r="BB14" i="5"/>
  <c r="W14" i="5" s="1"/>
  <c r="AK14" i="5" s="1"/>
  <c r="AY14" i="5"/>
  <c r="T14" i="5" s="1"/>
  <c r="BD40" i="1" l="1"/>
  <c r="BL55" i="1"/>
  <c r="BJ40" i="1"/>
  <c r="BJ53" i="1"/>
  <c r="BD53" i="1"/>
  <c r="BF13" i="1"/>
  <c r="AA13" i="1" s="1"/>
  <c r="AO13" i="1" s="1"/>
  <c r="AZ13" i="1"/>
  <c r="U13" i="1" s="1"/>
  <c r="BL26" i="1"/>
  <c r="BJ13" i="1"/>
  <c r="AE13" i="1" s="1"/>
  <c r="AS13" i="1" s="1"/>
  <c r="BC13" i="1"/>
  <c r="X13" i="1" s="1"/>
  <c r="AL13" i="1" s="1"/>
  <c r="BI13" i="1"/>
  <c r="AD13" i="1" s="1"/>
  <c r="AR13" i="1" s="1"/>
  <c r="O12" i="1"/>
  <c r="O13" i="1"/>
  <c r="R13" i="1" s="1"/>
  <c r="AG12" i="5"/>
  <c r="AG16" i="5" s="1"/>
  <c r="AG18" i="5" s="1"/>
  <c r="AT12" i="5"/>
  <c r="AF12" i="5" s="1"/>
  <c r="AH14" i="5"/>
  <c r="AT14" i="5" s="1"/>
  <c r="AF14" i="5" s="1"/>
  <c r="AG14" i="5"/>
  <c r="BI26" i="5"/>
  <c r="BK38" i="5"/>
  <c r="BC26" i="5"/>
  <c r="AZ26" i="5"/>
  <c r="BG26" i="5"/>
  <c r="BD55" i="1" l="1"/>
  <c r="BJ55" i="1"/>
  <c r="BL41" i="1"/>
  <c r="BH26" i="1"/>
  <c r="BD26" i="1"/>
  <c r="BJ26" i="1"/>
  <c r="BA26" i="1"/>
  <c r="AH13" i="1"/>
  <c r="AI13" i="1"/>
  <c r="AU13" i="1" s="1"/>
  <c r="AG13" i="1" s="1"/>
  <c r="BK49" i="5"/>
  <c r="BI38" i="5"/>
  <c r="BC38" i="5"/>
  <c r="BL56" i="1" l="1"/>
  <c r="BJ41" i="1"/>
  <c r="BD41" i="1"/>
  <c r="BI49" i="5"/>
  <c r="BC49" i="5"/>
  <c r="BD56" i="1" l="1"/>
  <c r="BJ56" i="1"/>
</calcChain>
</file>

<file path=xl/comments1.xml><?xml version="1.0" encoding="utf-8"?>
<comments xmlns="http://schemas.openxmlformats.org/spreadsheetml/2006/main">
  <authors>
    <author>Прун Алина Александровна</author>
  </authors>
  <commentList>
    <comment ref="BL14" authorId="0" shapeId="0">
      <text>
        <r>
          <rPr>
            <b/>
            <sz val="9"/>
            <color indexed="81"/>
            <rFont val="Tahoma"/>
            <charset val="1"/>
          </rPr>
          <t>4в1</t>
        </r>
      </text>
    </comment>
    <comment ref="BO14" authorId="0" shapeId="0">
      <text>
        <r>
          <rPr>
            <b/>
            <sz val="9"/>
            <color indexed="81"/>
            <rFont val="Tahoma"/>
            <charset val="1"/>
          </rPr>
          <t>стандарт</t>
        </r>
      </text>
    </comment>
  </commentList>
</comments>
</file>

<file path=xl/sharedStrings.xml><?xml version="1.0" encoding="utf-8"?>
<sst xmlns="http://schemas.openxmlformats.org/spreadsheetml/2006/main" count="1560" uniqueCount="593">
  <si>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</si>
  <si>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</si>
  <si>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</si>
  <si>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</si>
  <si>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</si>
  <si>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</si>
  <si>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</si>
  <si>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</si>
  <si>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</si>
  <si>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</si>
  <si>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</si>
  <si>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</si>
  <si>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</si>
  <si>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</si>
  <si>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</si>
  <si>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</si>
  <si>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</si>
  <si>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</si>
  <si>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</si>
  <si>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</si>
  <si>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</si>
  <si>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</si>
  <si>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</si>
  <si>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</si>
  <si>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</si>
  <si>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</si>
  <si>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</si>
  <si>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</si>
  <si>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</si>
  <si>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</si>
  <si>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</si>
  <si>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</si>
  <si>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</si>
  <si>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</si>
  <si>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</si>
  <si>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</si>
  <si>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</si>
  <si>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</si>
  <si>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</si>
  <si>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</si>
  <si>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</si>
  <si>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</si>
  <si>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</si>
  <si>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</si>
  <si>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</si>
  <si>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</si>
  <si>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</si>
  <si>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</si>
  <si>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</si>
  <si>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</si>
  <si>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</si>
  <si>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</si>
  <si>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</si>
  <si>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</si>
  <si>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</si>
  <si>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</si>
  <si>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</si>
  <si>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</si>
  <si>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</si>
  <si>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</si>
  <si>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</si>
  <si>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</si>
  <si>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</si>
  <si>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</si>
  <si>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</si>
  <si>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</si>
  <si>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</si>
  <si>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</si>
  <si>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</si>
  <si>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</si>
  <si>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</si>
  <si>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</si>
  <si>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</si>
  <si>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</si>
  <si>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</si>
  <si>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</si>
  <si>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</si>
  <si>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</si>
  <si>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</si>
  <si>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</si>
  <si>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</si>
  <si>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</si>
  <si>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</si>
  <si>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</si>
  <si>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</si>
  <si>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</si>
  <si>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</si>
  <si>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</si>
  <si>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</si>
  <si>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</si>
  <si>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</si>
  <si>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</si>
  <si>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</si>
  <si>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</si>
  <si>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</si>
  <si>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</si>
  <si>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</si>
  <si>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</si>
  <si>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</si>
  <si>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</si>
  <si>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</si>
  <si>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</si>
  <si>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</si>
  <si>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</si>
  <si>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</si>
  <si>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</si>
  <si>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</si>
  <si>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</si>
  <si>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</si>
  <si>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</si>
  <si>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</si>
  <si>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</si>
  <si>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</si>
  <si>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</si>
  <si>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</si>
  <si>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</si>
  <si>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</si>
  <si>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</si>
  <si>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</si>
  <si>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</si>
  <si>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</si>
  <si>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</si>
  <si>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</si>
  <si>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</si>
  <si>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</si>
  <si>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</si>
  <si>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</si>
  <si>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</si>
  <si>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</si>
  <si>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</si>
  <si>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</si>
  <si>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</si>
  <si>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</si>
  <si>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</si>
  <si>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</si>
  <si>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</si>
  <si>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</si>
  <si>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</si>
  <si>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</si>
  <si>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</si>
  <si>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</si>
  <si>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</si>
  <si>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</si>
  <si>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</si>
  <si>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</si>
  <si>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</si>
  <si>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</si>
  <si>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</si>
  <si>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</si>
  <si>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</si>
  <si>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</si>
  <si>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</si>
  <si>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</si>
  <si>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</si>
  <si>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</si>
  <si>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</si>
  <si>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</si>
  <si>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</si>
  <si>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</si>
  <si>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</si>
  <si>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</si>
  <si>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</si>
  <si>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</si>
  <si>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</si>
  <si>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</si>
  <si>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</si>
  <si>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</si>
  <si>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</si>
  <si>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</si>
  <si>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</si>
  <si>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</si>
  <si>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</si>
  <si>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</si>
  <si>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</si>
  <si>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</si>
  <si>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</si>
  <si>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</si>
  <si>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</si>
  <si>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</si>
  <si>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</si>
  <si>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</si>
  <si>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</si>
  <si>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</si>
  <si>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</si>
  <si>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</si>
  <si>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</si>
  <si>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</si>
  <si>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</si>
  <si>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</si>
  <si>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</si>
  <si>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</si>
  <si>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</si>
  <si>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</si>
  <si>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</si>
  <si>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</si>
  <si>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</si>
  <si>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</si>
  <si>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</si>
  <si>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</si>
  <si>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</si>
  <si>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</si>
  <si>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</si>
  <si>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</si>
  <si>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</si>
  <si>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</si>
  <si>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</si>
  <si>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</si>
  <si>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</si>
  <si>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</si>
  <si>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</si>
  <si>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</si>
  <si>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</si>
  <si>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</si>
  <si>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</si>
  <si>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</si>
  <si>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Уголок заглушки направляющей 4ПДВ</t>
  </si>
  <si>
    <t>FH0010.CR000</t>
  </si>
  <si>
    <t>FH0030.VS000</t>
  </si>
  <si>
    <t>FH0050.BR000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</si>
  <si>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</si>
  <si>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</si>
  <si>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</si>
  <si>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</si>
  <si>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</si>
  <si>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</si>
  <si>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</si>
  <si>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</si>
  <si>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</si>
  <si>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</si>
  <si>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</si>
  <si>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</si>
  <si>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</si>
  <si>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</si>
  <si>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</si>
  <si>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</si>
  <si>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</si>
  <si>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</si>
  <si>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</si>
  <si>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</si>
  <si>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</si>
  <si>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</si>
  <si>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</si>
  <si>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</si>
  <si>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</si>
  <si>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</si>
  <si>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</si>
  <si>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</si>
  <si>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</si>
  <si>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</si>
  <si>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</si>
  <si>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</si>
  <si>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</si>
  <si>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</si>
  <si>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</si>
  <si>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</si>
  <si>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</si>
  <si>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</si>
  <si>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</si>
  <si>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</si>
  <si>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</si>
  <si>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</si>
  <si>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</si>
  <si>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</si>
  <si>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</si>
  <si>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</si>
  <si>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</si>
  <si>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</si>
  <si>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</si>
  <si>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</si>
  <si>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</si>
  <si>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</si>
  <si>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</si>
  <si>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</si>
  <si>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</si>
  <si>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</si>
  <si>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</si>
  <si>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</si>
  <si>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</si>
  <si>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</si>
  <si>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</si>
  <si>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</si>
  <si>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</si>
  <si>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</si>
  <si>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</si>
  <si>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</si>
  <si>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</si>
  <si>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</si>
  <si>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</si>
  <si>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</si>
  <si>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</si>
  <si>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</si>
  <si>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</si>
  <si>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</si>
  <si>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</si>
  <si>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</si>
  <si>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</si>
  <si>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</si>
  <si>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</si>
  <si>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</si>
  <si>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</si>
  <si>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</si>
  <si>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</si>
  <si>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</si>
  <si>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</si>
  <si>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</si>
  <si>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</si>
  <si>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</si>
  <si>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</si>
  <si>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</si>
  <si>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</si>
  <si>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</si>
  <si>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</si>
  <si>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</si>
  <si>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</si>
  <si>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</si>
  <si>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</si>
  <si>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</si>
  <si>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</si>
  <si>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</si>
  <si>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</si>
  <si>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</si>
  <si>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</si>
  <si>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</si>
  <si>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</si>
  <si>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</si>
  <si>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</si>
  <si>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</si>
  <si>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</si>
  <si>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</si>
  <si>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</si>
  <si>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</si>
  <si>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</si>
  <si>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</si>
  <si>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</si>
  <si>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</si>
  <si>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</si>
  <si>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</si>
  <si>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</si>
  <si>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</si>
  <si>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</si>
  <si>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</si>
  <si>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</si>
  <si>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</si>
  <si>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</si>
  <si>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</si>
  <si>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</si>
  <si>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</si>
  <si>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</si>
  <si>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</si>
  <si>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</si>
  <si>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</si>
  <si>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</si>
  <si>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</si>
  <si>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</si>
  <si>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</si>
  <si>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</si>
  <si>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</si>
  <si>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</si>
  <si>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</si>
  <si>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</si>
  <si>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</si>
  <si>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</si>
  <si>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</si>
  <si>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</si>
  <si>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</si>
  <si>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</si>
  <si>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</si>
  <si>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FA0646.AP000.ZN0EP.CY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</si>
  <si>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</si>
  <si>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</si>
  <si>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</si>
  <si>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</si>
  <si>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</si>
  <si>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</si>
  <si>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</si>
  <si>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</si>
  <si>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</si>
  <si>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</si>
  <si>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</si>
  <si>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</si>
  <si>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</si>
  <si>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</si>
  <si>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</si>
  <si>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</si>
  <si>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</si>
  <si>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</si>
  <si>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</si>
  <si>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</si>
  <si>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</si>
  <si>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</si>
  <si>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</si>
  <si>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</si>
  <si>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</si>
  <si>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</si>
  <si>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</si>
  <si>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</si>
  <si>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</si>
  <si>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</si>
  <si>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</si>
  <si>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</si>
  <si>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</si>
  <si>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</si>
  <si>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</si>
  <si>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</si>
  <si>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</si>
  <si>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</si>
  <si>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</si>
  <si>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</si>
  <si>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</si>
  <si>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</si>
  <si>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</si>
  <si>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</si>
  <si>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</si>
  <si>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</si>
  <si>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</si>
  <si>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</si>
  <si>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</si>
  <si>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</si>
  <si>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</si>
  <si>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</si>
  <si>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</si>
  <si>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</si>
  <si>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</si>
  <si>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</si>
  <si>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</si>
  <si>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</si>
  <si>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</si>
  <si>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</si>
  <si>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</si>
  <si>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</si>
  <si>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</si>
  <si>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</si>
  <si>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</si>
  <si>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</si>
  <si>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</si>
  <si>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</si>
  <si>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</si>
  <si>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</si>
  <si>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</si>
  <si>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</si>
  <si>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</si>
  <si>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</si>
  <si>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</si>
  <si>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</si>
  <si>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</si>
  <si>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</si>
  <si>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</si>
  <si>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</si>
  <si>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</si>
  <si>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</si>
  <si>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</si>
  <si>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</si>
  <si>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</si>
  <si>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</si>
  <si>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</si>
  <si>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</si>
  <si>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</si>
  <si>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</si>
  <si>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</si>
  <si>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</si>
  <si>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</si>
  <si>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</si>
  <si>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</si>
  <si>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</si>
  <si>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</si>
  <si>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</si>
  <si>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</si>
  <si>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</si>
  <si>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</si>
  <si>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</si>
  <si>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</si>
  <si>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</si>
  <si>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</si>
  <si>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</si>
  <si>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</si>
  <si>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</si>
  <si>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</si>
  <si>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</si>
  <si>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</si>
  <si>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</si>
  <si>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</si>
  <si>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</si>
  <si>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</si>
  <si>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</si>
  <si>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</si>
  <si>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</si>
  <si>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</si>
  <si>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</si>
  <si>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</si>
  <si>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</si>
  <si>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</si>
  <si>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</si>
  <si>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</si>
  <si>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</si>
  <si>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</si>
  <si>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</si>
  <si>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</si>
  <si>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</si>
  <si>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</si>
  <si>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</si>
  <si>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</si>
  <si>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</si>
  <si>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</si>
  <si>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</si>
  <si>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</si>
  <si>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</si>
  <si>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</si>
  <si>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</si>
  <si>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</si>
  <si>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</si>
  <si>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</si>
  <si>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</si>
  <si>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</si>
  <si>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</si>
  <si>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</si>
  <si>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</si>
  <si>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</si>
  <si>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</si>
  <si>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</si>
  <si>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</si>
  <si>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</si>
  <si>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</si>
  <si>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</si>
  <si>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</si>
  <si>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</si>
  <si>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</si>
  <si>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</si>
  <si>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последовательное открывание (двери в проеме, последняя дверь активная)</t>
  </si>
  <si>
    <t>накладка стопора</t>
  </si>
  <si>
    <t>Накладка стопора</t>
  </si>
  <si>
    <t>FA0821.AP500.SLMAN.CJ</t>
  </si>
  <si>
    <t>FA0821.AP500.BKSPC.CJ</t>
  </si>
  <si>
    <t>Горизонтальный профиль</t>
  </si>
  <si>
    <t>Накладка декоративная направляющей</t>
  </si>
  <si>
    <t>OP0738.VP540</t>
  </si>
  <si>
    <t>OP0847.VP540</t>
  </si>
  <si>
    <t>OP0846.VP540</t>
  </si>
  <si>
    <t>OP0788.VP540</t>
  </si>
  <si>
    <t>Горизонтальный нижний профиль</t>
  </si>
  <si>
    <t>OP0787.VP540</t>
  </si>
  <si>
    <t>Горизонтальный разделительный  профиль</t>
  </si>
  <si>
    <t>OP0789.VP540</t>
  </si>
  <si>
    <t>Накладка декоративная профиля</t>
  </si>
  <si>
    <t>OP0739.VP540</t>
  </si>
  <si>
    <t>Накладной разделительный профиль</t>
  </si>
  <si>
    <t>OP0790.VP540</t>
  </si>
  <si>
    <t>Количество накладного горизонтального профиля  для одной двери</t>
  </si>
  <si>
    <t>Буфер двери</t>
  </si>
  <si>
    <t>последовательное открывание (двери в проеме, последняя дверь стационарная)</t>
  </si>
  <si>
    <t>четырехдверная в проем (две синхро, две стационарные)</t>
  </si>
  <si>
    <t>четырехдверная в проем (две синхро, две активные)</t>
  </si>
  <si>
    <t>Ролик верхний</t>
  </si>
  <si>
    <t>Ролик нижний</t>
  </si>
  <si>
    <t>OP0006.VP000</t>
  </si>
  <si>
    <t>OP0002.VP000</t>
  </si>
  <si>
    <t>OP0009.VP000</t>
  </si>
  <si>
    <t>Крепления для верхних роликов</t>
  </si>
  <si>
    <t>OP0005.VR000</t>
  </si>
  <si>
    <t>OP0012.VR000</t>
  </si>
  <si>
    <t>Механизм последовательного открывания</t>
  </si>
  <si>
    <t>OP0011.VR000</t>
  </si>
  <si>
    <t>Фиксатор ремня последовательной системы</t>
  </si>
  <si>
    <t>OP0010.VR000</t>
  </si>
  <si>
    <t>Ролик для последовательного открывания</t>
  </si>
  <si>
    <t>OP0003.VR000</t>
  </si>
  <si>
    <t>OP0008.VR000</t>
  </si>
  <si>
    <t>OP0004.VP000</t>
  </si>
  <si>
    <t>Угол заглушки направляющей</t>
  </si>
  <si>
    <t>OP0007.VP000</t>
  </si>
  <si>
    <t>NA0000.VP000</t>
  </si>
  <si>
    <t>Саморез 4х30</t>
  </si>
  <si>
    <t>OP0020.VP000</t>
  </si>
  <si>
    <t>Комплект торцевых элементов</t>
  </si>
  <si>
    <t>OP0001.VR000</t>
  </si>
  <si>
    <t>Уплотнитель П-образный 4 мм</t>
  </si>
  <si>
    <t>AV0064.VM100</t>
  </si>
  <si>
    <t>Уплотнитель П-образный 4 мм, низкий</t>
  </si>
  <si>
    <t>Длина хлыста</t>
  </si>
  <si>
    <t>Декоративка</t>
  </si>
  <si>
    <t>Кронштейны стационарной перегородки</t>
  </si>
  <si>
    <t>OP0013.VR000</t>
  </si>
  <si>
    <t>Механизм последовательного открывания**</t>
  </si>
  <si>
    <t>** Для вариантов с последовательным открыванием рекомендуем всегда использовать механизм последовательного открывания</t>
  </si>
  <si>
    <t>OP0015.VP000</t>
  </si>
  <si>
    <t>Комплект зажимов ремня</t>
  </si>
  <si>
    <t>Шлегель бесклеевой в паз вертикального профиля</t>
  </si>
  <si>
    <t>AA0056.VM150</t>
  </si>
  <si>
    <t>Накладка декоративная профиля с пазом</t>
  </si>
  <si>
    <t>на кронштейнах</t>
  </si>
  <si>
    <t>OP0856.VP540</t>
  </si>
  <si>
    <t>Профиль п-образный</t>
  </si>
  <si>
    <t>с профилем п-образным</t>
  </si>
  <si>
    <t>OP0857.VP540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</si>
</sst>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\ _₽_-;\-* #,##0.00\ _₽_-;_-* &quot;-&quot;??\ _₽_-;_-@_-"/>
    <numFmt numFmtId="164" formatCode="#,##0&quot; мм.&quot;"/>
    <numFmt numFmtId="165" formatCode="#,##0&quot; шт.&quot;"/>
    <numFmt numFmtId="166" formatCode="#,##0.00&quot;р.&quot;"/>
    <numFmt numFmtId="167" formatCode="#,##0.0&quot; мм.&quot;"/>
    <numFmt numFmtId="168" formatCode="#,##0&quot; комп.&quot;"/>
    <numFmt numFmtId="169" formatCode="#,##0.00\ &quot;р.&quot;"/>
    <numFmt numFmtId="170" formatCode="0.0"/>
    <numFmt numFmtId="171" formatCode="#,##0.00&quot; шт.&quot;"/>
    <numFmt numFmtId="172" formatCode="#,##0&quot; мм&quot;"/>
    <numFmt numFmtId="173" formatCode="#,##0&quot; м.&quot;"/>
    <numFmt numFmtId="174" formatCode="_-* #,##0.00\ _р_._-;\-* #,##0.00\ _р_._-;_-* &quot;-&quot;??\ _р_._-;_-@_-"/>
    <numFmt numFmtId="175" formatCode="_-* #,##0.00&quot;р.&quot;_-;\-* #,##0.00&quot;р.&quot;_-;_-* &quot;-&quot;??&quot;р.&quot;_-;_-@_-"/>
    <numFmt numFmtId="176" formatCode="_-* #,##0.00_р_._-;\-* #,##0.00_р_._-;_-* &quot;-&quot;??_р_._-;_-@_-"/>
    <numFmt numFmtId="177" formatCode="_(&quot;$&quot;* #,##0.00_);_(&quot;$&quot;* \(#,##0.00\);_(&quot;$&quot;* &quot;-&quot;??_);_(@_)"/>
    <numFmt numFmtId="178" formatCode="0.00&quot; руб.&quot;"/>
    <numFmt numFmtId="179" formatCode="#,##0.00&quot; руб.&quot;"/>
    <numFmt numFmtId="180" formatCode="0.000"/>
    <numFmt numFmtId="181" formatCode="0&quot; кг.&quot;"/>
    <numFmt numFmtId="182" formatCode="#,##0&quot; А&quot;"/>
    <numFmt numFmtId="183" formatCode="#,##0&quot; м&quot;"/>
  </numFmts>
  <fonts count="41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  <font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287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7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1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30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746">
    <xf numFmtId="0" fontId="0" fillId="0" borderId="0" xfId="0"/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2" fontId="25" fillId="7" borderId="1" xfId="0" applyNumberFormat="1" applyFont="1" applyFill="1" applyBorder="1" applyAlignment="1" applyProtection="1">
      <alignment horizontal="center" vertical="center"/>
    </xf>
    <xf numFmtId="172" fontId="25" fillId="6" borderId="1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Fill="1" applyBorder="1" applyAlignment="1" applyProtection="1">
      <alignment vertical="center"/>
    </xf>
    <xf numFmtId="164" fontId="0" fillId="0" borderId="0" xfId="0" applyNumberForma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4" fillId="0" borderId="2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vertical="center"/>
    </xf>
    <xf numFmtId="0" fontId="12" fillId="0" borderId="0" xfId="0" applyFont="1" applyFill="1" applyBorder="1" applyProtection="1"/>
    <xf numFmtId="0" fontId="13" fillId="0" borderId="0" xfId="0" applyFont="1" applyAlignment="1" applyProtection="1">
      <alignment horizontal="left"/>
    </xf>
    <xf numFmtId="0" fontId="12" fillId="0" borderId="0" xfId="0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right"/>
    </xf>
    <xf numFmtId="0" fontId="0" fillId="0" borderId="0" xfId="0" applyProtection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vertical="center"/>
    </xf>
    <xf numFmtId="169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/>
    </xf>
    <xf numFmtId="9" fontId="13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vertical="center"/>
    </xf>
    <xf numFmtId="0" fontId="12" fillId="0" borderId="0" xfId="0" applyFont="1" applyProtection="1"/>
    <xf numFmtId="2" fontId="12" fillId="0" borderId="0" xfId="0" applyNumberFormat="1" applyFont="1" applyProtection="1"/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Protection="1"/>
    <xf numFmtId="0" fontId="12" fillId="0" borderId="1" xfId="0" applyFont="1" applyFill="1" applyBorder="1" applyAlignment="1" applyProtection="1">
      <alignment vertical="center" wrapText="1"/>
    </xf>
    <xf numFmtId="0" fontId="0" fillId="0" borderId="1" xfId="0" applyBorder="1" applyProtection="1"/>
    <xf numFmtId="169" fontId="12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9" fillId="0" borderId="5" xfId="0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horizontal="left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top"/>
    </xf>
    <xf numFmtId="0" fontId="25" fillId="0" borderId="0" xfId="0" applyFont="1" applyAlignment="1" applyProtection="1">
      <alignment horizontal="left" vertical="top"/>
    </xf>
    <xf numFmtId="0" fontId="25" fillId="0" borderId="11" xfId="0" applyFont="1" applyBorder="1" applyAlignment="1" applyProtection="1">
      <alignment vertical="center"/>
    </xf>
    <xf numFmtId="0" fontId="25" fillId="0" borderId="3" xfId="0" applyFont="1" applyBorder="1" applyAlignment="1" applyProtection="1">
      <alignment vertical="center"/>
    </xf>
    <xf numFmtId="0" fontId="25" fillId="0" borderId="4" xfId="0" applyFont="1" applyBorder="1" applyAlignment="1" applyProtection="1">
      <alignment vertical="center"/>
    </xf>
    <xf numFmtId="0" fontId="25" fillId="0" borderId="13" xfId="0" applyFont="1" applyBorder="1" applyAlignment="1" applyProtection="1">
      <alignment horizontal="right"/>
    </xf>
    <xf numFmtId="165" fontId="25" fillId="2" borderId="21" xfId="0" applyNumberFormat="1" applyFont="1" applyFill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3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vertical="center"/>
    </xf>
    <xf numFmtId="0" fontId="25" fillId="0" borderId="2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25" fillId="0" borderId="2" xfId="0" applyFont="1" applyBorder="1" applyAlignment="1" applyProtection="1">
      <alignment vertical="center"/>
    </xf>
    <xf numFmtId="172" fontId="25" fillId="0" borderId="1" xfId="0" applyNumberFormat="1" applyFont="1" applyBorder="1" applyAlignment="1" applyProtection="1">
      <alignment horizontal="center" vertical="center"/>
    </xf>
    <xf numFmtId="165" fontId="25" fillId="0" borderId="1" xfId="0" applyNumberFormat="1" applyFont="1" applyBorder="1" applyAlignment="1" applyProtection="1">
      <alignment horizontal="center" vertical="center"/>
    </xf>
    <xf numFmtId="166" fontId="20" fillId="0" borderId="6" xfId="0" applyNumberFormat="1" applyFont="1" applyBorder="1" applyAlignment="1" applyProtection="1">
      <alignment horizontal="right" vertical="center"/>
    </xf>
    <xf numFmtId="0" fontId="26" fillId="0" borderId="0" xfId="0" applyFont="1" applyFill="1" applyAlignment="1" applyProtection="1">
      <alignment vertical="center"/>
    </xf>
    <xf numFmtId="169" fontId="0" fillId="0" borderId="0" xfId="0" applyNumberFormat="1" applyFill="1" applyBorder="1" applyAlignment="1" applyProtection="1">
      <alignment vertical="center"/>
    </xf>
    <xf numFmtId="169" fontId="0" fillId="0" borderId="0" xfId="0" applyNumberForma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169" fontId="20" fillId="0" borderId="21" xfId="0" applyNumberFormat="1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5" fillId="0" borderId="13" xfId="0" applyFont="1" applyBorder="1" applyProtection="1"/>
    <xf numFmtId="0" fontId="25" fillId="0" borderId="0" xfId="0" applyFont="1" applyBorder="1" applyProtection="1"/>
    <xf numFmtId="169" fontId="20" fillId="0" borderId="0" xfId="0" applyNumberFormat="1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5" fillId="0" borderId="0" xfId="0" applyFont="1" applyProtection="1"/>
    <xf numFmtId="0" fontId="25" fillId="0" borderId="14" xfId="0" applyFont="1" applyBorder="1" applyProtection="1"/>
    <xf numFmtId="0" fontId="25" fillId="0" borderId="9" xfId="0" applyFont="1" applyBorder="1" applyProtection="1"/>
    <xf numFmtId="0" fontId="25" fillId="0" borderId="9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2" borderId="1" xfId="0" applyNumberFormat="1" applyFont="1" applyFill="1" applyBorder="1" applyAlignment="1" applyProtection="1">
      <alignment horizontal="center" vertical="center"/>
    </xf>
    <xf numFmtId="0" fontId="25" fillId="0" borderId="13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165" fontId="3" fillId="0" borderId="0" xfId="0" applyNumberFormat="1" applyFont="1" applyAlignment="1" applyProtection="1">
      <alignment vertical="center"/>
    </xf>
    <xf numFmtId="0" fontId="24" fillId="0" borderId="2" xfId="0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0" fontId="1" fillId="0" borderId="13" xfId="0" applyFont="1" applyFill="1" applyBorder="1" applyAlignment="1" applyProtection="1">
      <alignment horizontal="center" vertical="center"/>
    </xf>
    <xf numFmtId="167" fontId="0" fillId="0" borderId="5" xfId="0" applyNumberForma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165" fontId="3" fillId="0" borderId="0" xfId="0" applyNumberFormat="1" applyFont="1" applyBorder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9" fontId="13" fillId="6" borderId="1" xfId="3" applyNumberFormat="1" applyFont="1" applyFill="1" applyBorder="1" applyAlignment="1" applyProtection="1">
      <alignment horizontal="center" vertical="center" wrapText="1"/>
      <protection locked="0"/>
    </xf>
    <xf numFmtId="169" fontId="21" fillId="0" borderId="1" xfId="0" applyNumberFormat="1" applyFont="1" applyBorder="1" applyAlignment="1" applyProtection="1">
      <alignment horizontal="center" vertical="center"/>
    </xf>
    <xf numFmtId="169" fontId="12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 applyProtection="1">
      <alignment horizontal="center" vertical="center"/>
    </xf>
    <xf numFmtId="165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</xf>
    <xf numFmtId="164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>
      <alignment horizontal="center" vertical="center"/>
    </xf>
    <xf numFmtId="169" fontId="0" fillId="0" borderId="1" xfId="0" applyNumberFormat="1" applyBorder="1" applyAlignment="1" applyProtection="1">
      <alignment horizontal="center" vertical="center"/>
    </xf>
    <xf numFmtId="166" fontId="20" fillId="0" borderId="34" xfId="0" applyNumberFormat="1" applyFont="1" applyBorder="1" applyAlignment="1" applyProtection="1">
      <alignment horizontal="right" vertical="center"/>
    </xf>
    <xf numFmtId="165" fontId="24" fillId="0" borderId="2" xfId="0" applyNumberFormat="1" applyFont="1" applyBorder="1" applyAlignment="1" applyProtection="1">
      <alignment vertical="center"/>
    </xf>
    <xf numFmtId="165" fontId="24" fillId="0" borderId="2" xfId="0" applyNumberFormat="1" applyFont="1" applyFill="1" applyBorder="1" applyAlignment="1" applyProtection="1">
      <alignment vertical="center"/>
    </xf>
    <xf numFmtId="169" fontId="3" fillId="0" borderId="21" xfId="0" applyNumberFormat="1" applyFont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left" vertical="center"/>
    </xf>
    <xf numFmtId="169" fontId="19" fillId="0" borderId="21" xfId="0" applyNumberFormat="1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0" fillId="0" borderId="10" xfId="0" applyFill="1" applyBorder="1" applyAlignment="1" applyProtection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9" borderId="1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Fill="1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/>
    </xf>
    <xf numFmtId="4" fontId="0" fillId="0" borderId="21" xfId="0" applyNumberFormat="1" applyBorder="1" applyAlignment="1" applyProtection="1">
      <alignment vertical="center"/>
    </xf>
    <xf numFmtId="181" fontId="25" fillId="0" borderId="21" xfId="0" applyNumberFormat="1" applyFont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right" vertical="center"/>
    </xf>
    <xf numFmtId="0" fontId="0" fillId="0" borderId="9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4" fillId="0" borderId="1" xfId="0" applyNumberFormat="1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9" fontId="14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169" fontId="28" fillId="4" borderId="1" xfId="3" applyNumberFormat="1" applyFont="1" applyFill="1" applyBorder="1" applyAlignment="1" applyProtection="1">
      <alignment horizontal="center" vertical="center" wrapText="1"/>
    </xf>
    <xf numFmtId="169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0" fillId="0" borderId="1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4" fillId="6" borderId="1" xfId="0" applyFont="1" applyFill="1" applyBorder="1" applyAlignment="1" applyProtection="1">
      <alignment vertical="center"/>
    </xf>
    <xf numFmtId="0" fontId="4" fillId="10" borderId="1" xfId="0" applyFont="1" applyFill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164" fontId="21" fillId="2" borderId="33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right" vertical="center"/>
    </xf>
    <xf numFmtId="4" fontId="0" fillId="0" borderId="31" xfId="0" applyNumberFormat="1" applyBorder="1" applyAlignment="1" applyProtection="1">
      <alignment vertical="center"/>
    </xf>
    <xf numFmtId="0" fontId="4" fillId="0" borderId="33" xfId="0" applyFont="1" applyFill="1" applyBorder="1" applyAlignment="1" applyProtection="1">
      <alignment vertical="center"/>
    </xf>
    <xf numFmtId="0" fontId="4" fillId="9" borderId="15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/>
    </xf>
    <xf numFmtId="0" fontId="0" fillId="0" borderId="15" xfId="0" applyFill="1" applyBorder="1" applyAlignment="1" applyProtection="1">
      <alignment vertical="center"/>
    </xf>
    <xf numFmtId="0" fontId="4" fillId="9" borderId="16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 wrapText="1"/>
    </xf>
    <xf numFmtId="0" fontId="25" fillId="0" borderId="13" xfId="0" applyFont="1" applyBorder="1" applyAlignment="1" applyProtection="1">
      <alignment horizontal="right" vertical="center"/>
    </xf>
    <xf numFmtId="0" fontId="32" fillId="2" borderId="1" xfId="0" applyFont="1" applyFill="1" applyBorder="1" applyAlignment="1" applyProtection="1">
      <alignment horizontal="center" vertical="center" wrapText="1"/>
    </xf>
    <xf numFmtId="0" fontId="21" fillId="0" borderId="33" xfId="0" applyFont="1" applyBorder="1" applyAlignment="1" applyProtection="1">
      <alignment horizontal="center" vertical="center"/>
    </xf>
    <xf numFmtId="0" fontId="21" fillId="0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center" vertical="center" wrapText="1"/>
    </xf>
    <xf numFmtId="4" fontId="13" fillId="0" borderId="1" xfId="0" applyNumberFormat="1" applyFont="1" applyFill="1" applyBorder="1" applyAlignment="1" applyProtection="1">
      <alignment horizontal="center" vertical="center"/>
    </xf>
    <xf numFmtId="4" fontId="13" fillId="3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 applyProtection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178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 applyProtection="1">
      <alignment vertic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169" fontId="12" fillId="0" borderId="1" xfId="6" applyNumberFormat="1" applyFont="1" applyFill="1" applyBorder="1" applyAlignment="1">
      <alignment vertical="center"/>
    </xf>
    <xf numFmtId="178" fontId="0" fillId="8" borderId="1" xfId="0" applyNumberFormat="1" applyFont="1" applyFill="1" applyBorder="1" applyAlignment="1">
      <alignment horizontal="right" vertical="top" wrapText="1"/>
    </xf>
    <xf numFmtId="0" fontId="17" fillId="3" borderId="1" xfId="0" applyFont="1" applyFill="1" applyBorder="1" applyAlignment="1" applyProtection="1">
      <alignment vertical="center"/>
    </xf>
    <xf numFmtId="165" fontId="0" fillId="0" borderId="1" xfId="0" applyNumberFormat="1" applyBorder="1" applyAlignment="1" applyProtection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168" fontId="24" fillId="0" borderId="6" xfId="1" applyNumberFormat="1" applyFont="1" applyFill="1" applyBorder="1" applyAlignment="1" applyProtection="1">
      <alignment horizontal="center" vertical="center"/>
    </xf>
    <xf numFmtId="165" fontId="24" fillId="0" borderId="6" xfId="0" applyNumberFormat="1" applyFont="1" applyFill="1" applyBorder="1" applyAlignment="1" applyProtection="1">
      <alignment horizontal="center" vertical="center"/>
    </xf>
    <xf numFmtId="165" fontId="24" fillId="0" borderId="6" xfId="1" applyNumberFormat="1" applyFont="1" applyFill="1" applyBorder="1" applyAlignment="1" applyProtection="1">
      <alignment horizontal="center" vertical="center"/>
    </xf>
    <xf numFmtId="173" fontId="24" fillId="0" borderId="6" xfId="0" applyNumberFormat="1" applyFont="1" applyFill="1" applyBorder="1" applyAlignment="1" applyProtection="1">
      <alignment horizontal="center" vertical="center"/>
    </xf>
    <xf numFmtId="173" fontId="24" fillId="0" borderId="6" xfId="1" applyNumberFormat="1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/>
    </xf>
    <xf numFmtId="169" fontId="21" fillId="0" borderId="34" xfId="0" applyNumberFormat="1" applyFont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169" fontId="0" fillId="0" borderId="6" xfId="0" applyNumberFormat="1" applyFill="1" applyBorder="1" applyAlignment="1" applyProtection="1">
      <alignment horizontal="center" vertical="center"/>
    </xf>
    <xf numFmtId="169" fontId="24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horizontal="center" vertical="center"/>
    </xf>
    <xf numFmtId="168" fontId="24" fillId="0" borderId="0" xfId="1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horizontal="center" vertical="center"/>
    </xf>
    <xf numFmtId="165" fontId="24" fillId="0" borderId="0" xfId="0" applyNumberFormat="1" applyFont="1" applyFill="1" applyBorder="1" applyAlignment="1" applyProtection="1">
      <alignment horizontal="center" vertical="center"/>
    </xf>
    <xf numFmtId="165" fontId="24" fillId="0" borderId="0" xfId="1" applyNumberFormat="1" applyFont="1" applyFill="1" applyBorder="1" applyAlignment="1" applyProtection="1">
      <alignment horizontal="center" vertical="center"/>
    </xf>
    <xf numFmtId="173" fontId="24" fillId="0" borderId="0" xfId="0" applyNumberFormat="1" applyFont="1" applyFill="1" applyBorder="1" applyAlignment="1" applyProtection="1">
      <alignment horizontal="center" vertical="center"/>
    </xf>
    <xf numFmtId="173" fontId="24" fillId="0" borderId="0" xfId="1" applyNumberFormat="1" applyFon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9" fontId="0" fillId="0" borderId="0" xfId="0" applyNumberFormat="1" applyFill="1" applyBorder="1" applyAlignment="1" applyProtection="1">
      <alignment horizontal="center" vertical="center"/>
    </xf>
    <xf numFmtId="169" fontId="19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vertical="center"/>
    </xf>
    <xf numFmtId="0" fontId="9" fillId="0" borderId="40" xfId="0" applyFont="1" applyFill="1" applyBorder="1" applyAlignment="1" applyProtection="1">
      <alignment horizontal="left" vertical="center"/>
    </xf>
    <xf numFmtId="0" fontId="21" fillId="2" borderId="41" xfId="0" applyFont="1" applyFill="1" applyBorder="1" applyAlignment="1" applyProtection="1">
      <alignment horizontal="center" vertical="center"/>
    </xf>
    <xf numFmtId="169" fontId="0" fillId="0" borderId="41" xfId="0" applyNumberFormat="1" applyBorder="1" applyAlignment="1" applyProtection="1">
      <alignment horizontal="center" vertical="center"/>
    </xf>
    <xf numFmtId="0" fontId="21" fillId="2" borderId="40" xfId="0" applyFont="1" applyFill="1" applyBorder="1" applyAlignment="1" applyProtection="1">
      <alignment horizontal="center" vertical="center"/>
    </xf>
    <xf numFmtId="169" fontId="24" fillId="0" borderId="41" xfId="1" applyNumberFormat="1" applyFont="1" applyFill="1" applyBorder="1" applyAlignment="1" applyProtection="1">
      <alignment horizontal="center" vertical="center"/>
    </xf>
    <xf numFmtId="166" fontId="3" fillId="0" borderId="21" xfId="0" applyNumberFormat="1" applyFont="1" applyFill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4" fillId="0" borderId="5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/>
    </xf>
    <xf numFmtId="171" fontId="21" fillId="0" borderId="0" xfId="0" applyNumberFormat="1" applyFont="1" applyFill="1" applyBorder="1" applyAlignment="1" applyProtection="1">
      <alignment horizontal="center" vertical="center"/>
    </xf>
    <xf numFmtId="168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66" fontId="21" fillId="0" borderId="0" xfId="0" applyNumberFormat="1" applyFont="1" applyFill="1" applyBorder="1" applyAlignment="1" applyProtection="1">
      <alignment vertical="center"/>
    </xf>
    <xf numFmtId="169" fontId="24" fillId="0" borderId="0" xfId="0" applyNumberFormat="1" applyFon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vertical="center"/>
    </xf>
    <xf numFmtId="165" fontId="21" fillId="0" borderId="33" xfId="0" applyNumberFormat="1" applyFont="1" applyBorder="1" applyAlignment="1" applyProtection="1">
      <alignment horizontal="center" vertical="center"/>
    </xf>
    <xf numFmtId="169" fontId="0" fillId="0" borderId="0" xfId="0" applyNumberFormat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7" fontId="0" fillId="0" borderId="0" xfId="0" applyNumberFormat="1" applyFill="1" applyBorder="1" applyAlignment="1" applyProtection="1">
      <alignment horizontal="center" vertical="center"/>
    </xf>
    <xf numFmtId="166" fontId="3" fillId="0" borderId="21" xfId="0" applyNumberFormat="1" applyFont="1" applyBorder="1" applyAlignment="1" applyProtection="1">
      <alignment horizontal="center" vertical="center"/>
    </xf>
    <xf numFmtId="169" fontId="3" fillId="0" borderId="23" xfId="0" applyNumberFormat="1" applyFont="1" applyBorder="1" applyAlignment="1" applyProtection="1">
      <alignment horizontal="center" vertical="center"/>
    </xf>
    <xf numFmtId="168" fontId="24" fillId="0" borderId="6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Fill="1" applyBorder="1" applyAlignment="1" applyProtection="1">
      <alignment horizontal="center" vertical="center"/>
    </xf>
    <xf numFmtId="169" fontId="21" fillId="0" borderId="41" xfId="0" applyNumberFormat="1" applyFont="1" applyFill="1" applyBorder="1" applyAlignment="1" applyProtection="1">
      <alignment horizontal="center" vertical="center"/>
    </xf>
    <xf numFmtId="169" fontId="24" fillId="0" borderId="41" xfId="0" applyNumberFormat="1" applyFont="1" applyFill="1" applyBorder="1" applyAlignment="1" applyProtection="1">
      <alignment horizontal="center" vertical="center"/>
    </xf>
    <xf numFmtId="169" fontId="19" fillId="0" borderId="23" xfId="0" applyNumberFormat="1" applyFont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vertical="center"/>
    </xf>
    <xf numFmtId="4" fontId="0" fillId="0" borderId="32" xfId="0" applyNumberFormat="1" applyBorder="1" applyAlignment="1" applyProtection="1">
      <alignment vertical="center"/>
    </xf>
    <xf numFmtId="164" fontId="24" fillId="0" borderId="6" xfId="0" applyNumberFormat="1" applyFont="1" applyBorder="1" applyAlignment="1" applyProtection="1">
      <alignment vertical="center"/>
    </xf>
    <xf numFmtId="164" fontId="24" fillId="0" borderId="12" xfId="0" applyNumberFormat="1" applyFont="1" applyBorder="1" applyAlignment="1" applyProtection="1">
      <alignment vertical="center"/>
    </xf>
    <xf numFmtId="0" fontId="35" fillId="0" borderId="33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24" fillId="0" borderId="27" xfId="0" applyFont="1" applyFill="1" applyBorder="1" applyAlignment="1" applyProtection="1">
      <alignment horizontal="right" vertical="center"/>
    </xf>
    <xf numFmtId="164" fontId="24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24" fillId="0" borderId="7" xfId="0" applyFont="1" applyFill="1" applyBorder="1" applyAlignment="1" applyProtection="1">
      <alignment horizontal="right" vertical="center"/>
    </xf>
    <xf numFmtId="164" fontId="24" fillId="0" borderId="6" xfId="0" applyNumberFormat="1" applyFont="1" applyFill="1" applyBorder="1" applyAlignment="1" applyProtection="1">
      <alignment horizontal="center" vertical="center"/>
    </xf>
    <xf numFmtId="169" fontId="24" fillId="0" borderId="23" xfId="1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/>
    </xf>
    <xf numFmtId="0" fontId="9" fillId="0" borderId="37" xfId="0" applyFont="1" applyFill="1" applyBorder="1" applyAlignment="1" applyProtection="1">
      <alignment vertical="center"/>
    </xf>
    <xf numFmtId="169" fontId="24" fillId="0" borderId="45" xfId="1" applyNumberFormat="1" applyFont="1" applyFill="1" applyBorder="1" applyAlignment="1" applyProtection="1">
      <alignment horizontal="center" vertical="center"/>
    </xf>
    <xf numFmtId="164" fontId="24" fillId="0" borderId="6" xfId="0" applyNumberFormat="1" applyFont="1" applyFill="1" applyBorder="1" applyAlignment="1" applyProtection="1">
      <alignment vertical="center"/>
    </xf>
    <xf numFmtId="164" fontId="24" fillId="0" borderId="12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169" fontId="24" fillId="0" borderId="0" xfId="1" applyNumberFormat="1" applyFont="1" applyFill="1" applyBorder="1" applyAlignment="1" applyProtection="1">
      <alignment horizontal="left" vertical="center"/>
    </xf>
    <xf numFmtId="169" fontId="24" fillId="0" borderId="0" xfId="0" applyNumberFormat="1" applyFont="1" applyFill="1" applyBorder="1" applyAlignment="1" applyProtection="1">
      <alignment horizontal="left" vertical="center"/>
    </xf>
    <xf numFmtId="169" fontId="21" fillId="0" borderId="0" xfId="0" applyNumberFormat="1" applyFont="1" applyFill="1" applyBorder="1" applyAlignment="1" applyProtection="1">
      <alignment horizontal="left" vertical="center"/>
    </xf>
    <xf numFmtId="169" fontId="19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 applyProtection="1">
      <alignment horizontal="left" vertical="center"/>
    </xf>
    <xf numFmtId="165" fontId="4" fillId="0" borderId="1" xfId="0" applyNumberFormat="1" applyFont="1" applyFill="1" applyBorder="1" applyAlignment="1" applyProtection="1">
      <alignment vertical="center"/>
    </xf>
    <xf numFmtId="171" fontId="4" fillId="0" borderId="1" xfId="0" applyNumberFormat="1" applyFont="1" applyFill="1" applyBorder="1" applyAlignment="1" applyProtection="1">
      <alignment vertical="center"/>
    </xf>
    <xf numFmtId="0" fontId="27" fillId="0" borderId="17" xfId="0" applyFont="1" applyFill="1" applyBorder="1" applyAlignment="1" applyProtection="1">
      <alignment horizontal="left" vertical="center"/>
    </xf>
    <xf numFmtId="169" fontId="0" fillId="0" borderId="7" xfId="0" applyNumberForma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169" fontId="0" fillId="0" borderId="2" xfId="0" applyNumberFormat="1" applyFill="1" applyBorder="1" applyAlignment="1" applyProtection="1">
      <alignment horizontal="left" vertical="center"/>
    </xf>
    <xf numFmtId="169" fontId="19" fillId="0" borderId="7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9" fontId="7" fillId="0" borderId="21" xfId="0" applyNumberFormat="1" applyFont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 vertical="center"/>
    </xf>
    <xf numFmtId="164" fontId="24" fillId="0" borderId="1" xfId="0" applyNumberFormat="1" applyFont="1" applyBorder="1" applyAlignment="1" applyProtection="1">
      <alignment vertical="center"/>
    </xf>
    <xf numFmtId="164" fontId="24" fillId="0" borderId="8" xfId="0" applyNumberFormat="1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right" vertical="center"/>
    </xf>
    <xf numFmtId="182" fontId="24" fillId="0" borderId="2" xfId="0" applyNumberFormat="1" applyFont="1" applyBorder="1" applyAlignment="1" applyProtection="1">
      <alignment vertical="center"/>
    </xf>
    <xf numFmtId="172" fontId="21" fillId="0" borderId="1" xfId="0" applyNumberFormat="1" applyFont="1" applyBorder="1" applyAlignment="1" applyProtection="1">
      <alignment horizontal="center" vertical="center"/>
    </xf>
    <xf numFmtId="169" fontId="21" fillId="0" borderId="41" xfId="0" applyNumberFormat="1" applyFont="1" applyBorder="1" applyAlignment="1" applyProtection="1">
      <alignment horizontal="center" vertical="center"/>
    </xf>
    <xf numFmtId="165" fontId="21" fillId="0" borderId="6" xfId="0" applyNumberFormat="1" applyFont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64" fontId="24" fillId="0" borderId="6" xfId="0" applyNumberFormat="1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20" xfId="0" applyFont="1" applyFill="1" applyBorder="1" applyAlignment="1" applyProtection="1">
      <alignment vertical="center"/>
    </xf>
    <xf numFmtId="0" fontId="0" fillId="0" borderId="33" xfId="0" applyFont="1" applyFill="1" applyBorder="1" applyAlignment="1" applyProtection="1">
      <alignment vertical="center"/>
    </xf>
    <xf numFmtId="0" fontId="4" fillId="0" borderId="11" xfId="0" applyFont="1" applyFill="1" applyBorder="1" applyAlignment="1" applyProtection="1">
      <alignment vertical="center"/>
    </xf>
    <xf numFmtId="0" fontId="0" fillId="0" borderId="4" xfId="0" applyFill="1" applyBorder="1" applyAlignment="1" applyProtection="1">
      <alignment vertical="center"/>
    </xf>
    <xf numFmtId="169" fontId="0" fillId="0" borderId="1" xfId="0" applyNumberFormat="1" applyFill="1" applyBorder="1" applyAlignment="1" applyProtection="1">
      <alignment horizontal="center" vertical="center"/>
    </xf>
    <xf numFmtId="0" fontId="25" fillId="0" borderId="14" xfId="0" applyFont="1" applyBorder="1" applyAlignment="1" applyProtection="1">
      <alignment vertical="center"/>
    </xf>
    <xf numFmtId="0" fontId="25" fillId="0" borderId="9" xfId="0" applyFont="1" applyBorder="1" applyAlignment="1" applyProtection="1">
      <alignment horizontal="left" vertical="center"/>
    </xf>
    <xf numFmtId="0" fontId="25" fillId="0" borderId="9" xfId="0" applyFont="1" applyFill="1" applyBorder="1" applyAlignment="1" applyProtection="1">
      <alignment vertical="center"/>
    </xf>
    <xf numFmtId="0" fontId="25" fillId="0" borderId="21" xfId="0" applyFont="1" applyBorder="1" applyAlignment="1" applyProtection="1">
      <alignment horizontal="center" vertical="center"/>
    </xf>
    <xf numFmtId="181" fontId="20" fillId="0" borderId="21" xfId="0" applyNumberFormat="1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right" vertical="center"/>
    </xf>
    <xf numFmtId="169" fontId="3" fillId="0" borderId="7" xfId="0" applyNumberFormat="1" applyFont="1" applyFill="1" applyBorder="1" applyAlignment="1" applyProtection="1">
      <alignment horizontal="left" vertical="center"/>
    </xf>
    <xf numFmtId="166" fontId="0" fillId="0" borderId="34" xfId="0" applyNumberFormat="1" applyBorder="1" applyAlignment="1" applyProtection="1">
      <alignment horizontal="center" vertical="center"/>
    </xf>
    <xf numFmtId="169" fontId="3" fillId="0" borderId="7" xfId="0" applyNumberFormat="1" applyFont="1" applyFill="1" applyBorder="1" applyAlignment="1" applyProtection="1">
      <alignment horizontal="center" vertical="center"/>
    </xf>
    <xf numFmtId="180" fontId="27" fillId="0" borderId="28" xfId="0" applyNumberFormat="1" applyFont="1" applyBorder="1" applyAlignment="1" applyProtection="1">
      <alignment horizontal="center"/>
    </xf>
    <xf numFmtId="180" fontId="27" fillId="0" borderId="28" xfId="0" applyNumberFormat="1" applyFont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/>
    </xf>
    <xf numFmtId="0" fontId="27" fillId="0" borderId="29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vertical="center"/>
    </xf>
    <xf numFmtId="180" fontId="27" fillId="0" borderId="29" xfId="0" applyNumberFormat="1" applyFont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 wrapText="1"/>
    </xf>
    <xf numFmtId="169" fontId="21" fillId="0" borderId="41" xfId="0" applyNumberFormat="1" applyFont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39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39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39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2" fillId="0" borderId="1" xfId="0" applyFont="1" applyBorder="1" applyProtection="1"/>
    <xf numFmtId="0" fontId="12" fillId="0" borderId="15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vertical="center" wrapText="1"/>
    </xf>
    <xf numFmtId="0" fontId="12" fillId="5" borderId="1" xfId="0" applyFont="1" applyFill="1" applyBorder="1" applyAlignment="1" applyProtection="1"/>
    <xf numFmtId="0" fontId="12" fillId="5" borderId="1" xfId="0" applyFont="1" applyFill="1" applyBorder="1" applyAlignment="1" applyProtection="1">
      <alignment horizontal="left" indent="3"/>
    </xf>
    <xf numFmtId="0" fontId="13" fillId="3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8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9" fontId="21" fillId="0" borderId="41" xfId="0" applyNumberFormat="1" applyFont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  <protection locked="0"/>
    </xf>
    <xf numFmtId="0" fontId="4" fillId="10" borderId="0" xfId="0" applyFont="1" applyFill="1" applyAlignment="1" applyProtection="1">
      <alignment vertical="center"/>
    </xf>
    <xf numFmtId="0" fontId="4" fillId="6" borderId="0" xfId="0" applyFont="1" applyFill="1" applyBorder="1" applyAlignment="1" applyProtection="1">
      <alignment vertical="center"/>
    </xf>
    <xf numFmtId="166" fontId="0" fillId="0" borderId="0" xfId="0" applyNumberFormat="1" applyBorder="1" applyAlignment="1" applyProtection="1">
      <alignment horizontal="center" vertical="center"/>
    </xf>
    <xf numFmtId="169" fontId="19" fillId="0" borderId="0" xfId="0" applyNumberFormat="1" applyFont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164" fontId="21" fillId="0" borderId="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vertical="center"/>
    </xf>
    <xf numFmtId="165" fontId="24" fillId="0" borderId="12" xfId="0" applyNumberFormat="1" applyFont="1" applyFill="1" applyBorder="1" applyAlignment="1" applyProtection="1">
      <alignment horizontal="center" vertical="center"/>
    </xf>
    <xf numFmtId="180" fontId="27" fillId="0" borderId="26" xfId="0" applyNumberFormat="1" applyFont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 applyProtection="1">
      <alignment horizontal="center" vertical="center"/>
    </xf>
    <xf numFmtId="165" fontId="24" fillId="0" borderId="34" xfId="1" applyNumberFormat="1" applyFont="1" applyFill="1" applyBorder="1" applyAlignment="1" applyProtection="1">
      <alignment horizontal="center" vertical="center"/>
    </xf>
    <xf numFmtId="169" fontId="24" fillId="0" borderId="42" xfId="1" applyNumberFormat="1" applyFont="1" applyFill="1" applyBorder="1" applyAlignment="1" applyProtection="1">
      <alignment horizontal="center" vertical="center"/>
    </xf>
    <xf numFmtId="169" fontId="3" fillId="0" borderId="45" xfId="0" applyNumberFormat="1" applyFont="1" applyBorder="1" applyAlignment="1" applyProtection="1">
      <alignment horizontal="center" vertical="center"/>
    </xf>
    <xf numFmtId="0" fontId="24" fillId="0" borderId="47" xfId="0" applyFont="1" applyBorder="1" applyAlignment="1" applyProtection="1">
      <alignment vertical="center"/>
    </xf>
    <xf numFmtId="0" fontId="21" fillId="0" borderId="47" xfId="0" applyFont="1" applyBorder="1" applyAlignment="1" applyProtection="1">
      <alignment vertical="center"/>
    </xf>
    <xf numFmtId="0" fontId="24" fillId="0" borderId="47" xfId="0" applyFont="1" applyFill="1" applyBorder="1" applyAlignment="1" applyProtection="1">
      <alignment vertical="center"/>
    </xf>
    <xf numFmtId="182" fontId="24" fillId="0" borderId="47" xfId="0" applyNumberFormat="1" applyFont="1" applyBorder="1" applyAlignment="1" applyProtection="1">
      <alignment vertical="center"/>
    </xf>
    <xf numFmtId="0" fontId="21" fillId="0" borderId="8" xfId="0" applyFont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0" fontId="21" fillId="0" borderId="15" xfId="0" applyFont="1" applyBorder="1" applyAlignment="1" applyProtection="1">
      <alignment horizontal="center" vertical="center"/>
    </xf>
    <xf numFmtId="166" fontId="0" fillId="0" borderId="9" xfId="0" applyNumberFormat="1" applyFill="1" applyBorder="1" applyAlignment="1" applyProtection="1">
      <alignment vertical="center"/>
    </xf>
    <xf numFmtId="0" fontId="21" fillId="0" borderId="9" xfId="0" applyFont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vertical="center"/>
    </xf>
    <xf numFmtId="164" fontId="21" fillId="0" borderId="0" xfId="0" applyNumberFormat="1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left" vertical="center"/>
    </xf>
    <xf numFmtId="169" fontId="21" fillId="0" borderId="4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4" fillId="9" borderId="20" xfId="0" applyFont="1" applyFill="1" applyBorder="1" applyAlignment="1" applyProtection="1">
      <alignment vertical="center"/>
    </xf>
    <xf numFmtId="0" fontId="4" fillId="10" borderId="20" xfId="0" applyFont="1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28" xfId="0" applyFont="1" applyFill="1" applyBorder="1" applyAlignment="1" applyProtection="1">
      <alignment vertical="center"/>
    </xf>
    <xf numFmtId="0" fontId="4" fillId="0" borderId="33" xfId="0" applyFont="1" applyBorder="1" applyAlignment="1" applyProtection="1">
      <alignment vertical="center"/>
    </xf>
    <xf numFmtId="0" fontId="4" fillId="0" borderId="15" xfId="0" applyFont="1" applyBorder="1" applyAlignment="1" applyProtection="1">
      <alignment vertical="center"/>
    </xf>
    <xf numFmtId="0" fontId="4" fillId="0" borderId="17" xfId="0" applyFont="1" applyFill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0" fillId="0" borderId="27" xfId="0" applyFill="1" applyBorder="1" applyAlignment="1" applyProtection="1">
      <alignment vertical="center"/>
    </xf>
    <xf numFmtId="0" fontId="4" fillId="0" borderId="34" xfId="0" applyFont="1" applyFill="1" applyBorder="1" applyAlignment="1" applyProtection="1">
      <alignment vertical="center"/>
    </xf>
    <xf numFmtId="0" fontId="4" fillId="0" borderId="29" xfId="0" applyFont="1" applyFill="1" applyBorder="1" applyAlignment="1" applyProtection="1">
      <alignment vertical="center"/>
    </xf>
    <xf numFmtId="0" fontId="4" fillId="0" borderId="27" xfId="0" applyFont="1" applyFill="1" applyBorder="1" applyAlignment="1" applyProtection="1">
      <alignment vertical="center"/>
    </xf>
    <xf numFmtId="0" fontId="4" fillId="0" borderId="34" xfId="0" applyFont="1" applyBorder="1" applyAlignment="1" applyProtection="1">
      <alignment vertical="center"/>
    </xf>
    <xf numFmtId="0" fontId="21" fillId="0" borderId="13" xfId="0" applyFont="1" applyBorder="1" applyAlignment="1" applyProtection="1">
      <alignment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right" vertical="center"/>
    </xf>
    <xf numFmtId="0" fontId="9" fillId="0" borderId="3" xfId="0" applyFont="1" applyFill="1" applyBorder="1" applyAlignment="1" applyProtection="1">
      <alignment horizontal="left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Fill="1" applyBorder="1" applyAlignment="1" applyProtection="1">
      <alignment horizontal="center" vertical="center"/>
    </xf>
    <xf numFmtId="166" fontId="21" fillId="0" borderId="0" xfId="0" applyNumberFormat="1" applyFont="1" applyBorder="1" applyAlignment="1" applyProtection="1">
      <alignment vertical="center"/>
    </xf>
    <xf numFmtId="168" fontId="21" fillId="0" borderId="6" xfId="0" applyNumberFormat="1" applyFont="1" applyFill="1" applyBorder="1" applyAlignment="1" applyProtection="1">
      <alignment horizontal="center" vertical="center"/>
    </xf>
    <xf numFmtId="168" fontId="24" fillId="0" borderId="12" xfId="1" applyNumberFormat="1" applyFont="1" applyFill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/>
    </xf>
    <xf numFmtId="173" fontId="24" fillId="0" borderId="12" xfId="0" applyNumberFormat="1" applyFont="1" applyFill="1" applyBorder="1" applyAlignment="1" applyProtection="1">
      <alignment horizontal="center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right" vertical="center"/>
    </xf>
    <xf numFmtId="0" fontId="21" fillId="2" borderId="33" xfId="0" applyFont="1" applyFill="1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0" fillId="0" borderId="1" xfId="0" applyNumberFormat="1" applyFill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horizontal="left" vertical="center"/>
    </xf>
    <xf numFmtId="0" fontId="21" fillId="0" borderId="1" xfId="0" applyFont="1" applyBorder="1" applyAlignment="1" applyProtection="1">
      <alignment horizontal="left" vertical="center"/>
    </xf>
    <xf numFmtId="0" fontId="21" fillId="0" borderId="47" xfId="0" applyFont="1" applyBorder="1" applyAlignment="1" applyProtection="1">
      <alignment horizontal="left" vertical="center"/>
    </xf>
    <xf numFmtId="0" fontId="21" fillId="0" borderId="28" xfId="0" applyFont="1" applyBorder="1" applyAlignment="1" applyProtection="1">
      <alignment horizontal="left" vertical="center"/>
    </xf>
    <xf numFmtId="0" fontId="21" fillId="0" borderId="33" xfId="0" applyFont="1" applyBorder="1" applyAlignment="1" applyProtection="1">
      <alignment horizontal="left" vertical="center"/>
    </xf>
    <xf numFmtId="0" fontId="21" fillId="0" borderId="47" xfId="0" applyFont="1" applyBorder="1" applyAlignment="1" applyProtection="1">
      <alignment vertical="center"/>
    </xf>
    <xf numFmtId="0" fontId="21" fillId="0" borderId="28" xfId="0" applyFont="1" applyBorder="1" applyAlignment="1" applyProtection="1">
      <alignment vertical="center"/>
    </xf>
    <xf numFmtId="0" fontId="21" fillId="0" borderId="33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20" fillId="0" borderId="28" xfId="0" applyNumberFormat="1" applyFont="1" applyFill="1" applyBorder="1" applyAlignment="1" applyProtection="1">
      <alignment horizontal="center" vertical="center"/>
    </xf>
    <xf numFmtId="165" fontId="20" fillId="0" borderId="24" xfId="0" applyNumberFormat="1" applyFont="1" applyFill="1" applyBorder="1" applyAlignment="1" applyProtection="1">
      <alignment horizontal="center" vertical="center"/>
    </xf>
    <xf numFmtId="166" fontId="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28" xfId="0" applyNumberFormat="1" applyFont="1" applyFill="1" applyBorder="1" applyAlignment="1" applyProtection="1">
      <alignment horizontal="center" vertical="center" wrapText="1"/>
    </xf>
    <xf numFmtId="165" fontId="27" fillId="0" borderId="24" xfId="0" applyNumberFormat="1" applyFont="1" applyFill="1" applyBorder="1" applyAlignment="1" applyProtection="1">
      <alignment horizontal="center" vertical="center" wrapText="1"/>
    </xf>
    <xf numFmtId="0" fontId="0" fillId="0" borderId="50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right" vertical="center"/>
    </xf>
    <xf numFmtId="0" fontId="9" fillId="0" borderId="51" xfId="0" applyFont="1" applyFill="1" applyBorder="1" applyAlignment="1" applyProtection="1">
      <alignment horizontal="left" vertical="center"/>
    </xf>
    <xf numFmtId="0" fontId="9" fillId="0" borderId="36" xfId="0" applyFont="1" applyFill="1" applyBorder="1" applyAlignment="1" applyProtection="1">
      <alignment horizontal="left" vertical="center"/>
    </xf>
    <xf numFmtId="0" fontId="9" fillId="0" borderId="37" xfId="0" applyFont="1" applyFill="1" applyBorder="1" applyAlignment="1" applyProtection="1">
      <alignment horizontal="left" vertical="center"/>
    </xf>
    <xf numFmtId="169" fontId="21" fillId="0" borderId="41" xfId="0" applyNumberFormat="1" applyFont="1" applyBorder="1" applyAlignment="1" applyProtection="1">
      <alignment horizontal="center" vertical="center"/>
    </xf>
    <xf numFmtId="166" fontId="21" fillId="0" borderId="47" xfId="0" applyNumberFormat="1" applyFont="1" applyBorder="1" applyAlignment="1" applyProtection="1">
      <alignment horizontal="left" vertical="center"/>
    </xf>
    <xf numFmtId="166" fontId="21" fillId="0" borderId="28" xfId="0" applyNumberFormat="1" applyFont="1" applyBorder="1" applyAlignment="1" applyProtection="1">
      <alignment horizontal="left" vertical="center"/>
    </xf>
    <xf numFmtId="166" fontId="21" fillId="0" borderId="33" xfId="0" applyNumberFormat="1" applyFont="1" applyBorder="1" applyAlignment="1" applyProtection="1">
      <alignment horizontal="left" vertical="center"/>
    </xf>
    <xf numFmtId="166" fontId="21" fillId="0" borderId="52" xfId="0" applyNumberFormat="1" applyFont="1" applyBorder="1" applyAlignment="1" applyProtection="1">
      <alignment horizontal="left" vertical="center"/>
    </xf>
    <xf numFmtId="166" fontId="21" fillId="0" borderId="26" xfId="0" applyNumberFormat="1" applyFont="1" applyBorder="1" applyAlignment="1" applyProtection="1">
      <alignment horizontal="left" vertical="center"/>
    </xf>
    <xf numFmtId="166" fontId="21" fillId="0" borderId="35" xfId="0" applyNumberFormat="1" applyFont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vertical="center"/>
    </xf>
    <xf numFmtId="0" fontId="21" fillId="0" borderId="1" xfId="0" applyFont="1" applyFill="1" applyBorder="1" applyAlignment="1" applyProtection="1">
      <alignment vertical="center"/>
    </xf>
    <xf numFmtId="169" fontId="21" fillId="0" borderId="8" xfId="0" applyNumberFormat="1" applyFont="1" applyBorder="1" applyAlignment="1" applyProtection="1">
      <alignment horizontal="right" vertical="center"/>
    </xf>
    <xf numFmtId="169" fontId="21" fillId="0" borderId="43" xfId="0" applyNumberFormat="1" applyFont="1" applyBorder="1" applyAlignment="1" applyProtection="1">
      <alignment horizontal="right" vertical="center"/>
    </xf>
    <xf numFmtId="164" fontId="0" fillId="0" borderId="1" xfId="0" applyNumberFormat="1" applyBorder="1" applyAlignment="1" applyProtection="1">
      <alignment horizontal="center" vertical="center"/>
    </xf>
    <xf numFmtId="0" fontId="27" fillId="0" borderId="2" xfId="0" applyFont="1" applyBorder="1" applyAlignment="1" applyProtection="1">
      <alignment horizontal="left" vertical="center"/>
    </xf>
    <xf numFmtId="0" fontId="27" fillId="0" borderId="1" xfId="0" applyFont="1" applyBorder="1" applyAlignment="1" applyProtection="1">
      <alignment horizontal="left" vertical="center"/>
    </xf>
    <xf numFmtId="0" fontId="27" fillId="0" borderId="2" xfId="0" applyFont="1" applyBorder="1" applyAlignment="1" applyProtection="1">
      <alignment horizontal="left" vertical="center" wrapText="1"/>
    </xf>
    <xf numFmtId="0" fontId="27" fillId="0" borderId="1" xfId="0" applyFont="1" applyBorder="1" applyAlignment="1" applyProtection="1">
      <alignment horizontal="left" vertical="center" wrapText="1"/>
    </xf>
    <xf numFmtId="0" fontId="27" fillId="0" borderId="20" xfId="0" applyFont="1" applyFill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 vertical="center"/>
    </xf>
    <xf numFmtId="0" fontId="27" fillId="0" borderId="33" xfId="0" applyFont="1" applyFill="1" applyBorder="1" applyAlignment="1" applyProtection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5" fillId="0" borderId="52" xfId="0" applyFont="1" applyBorder="1" applyAlignment="1" applyProtection="1">
      <alignment horizontal="left" vertical="center"/>
    </xf>
    <xf numFmtId="0" fontId="25" fillId="0" borderId="26" xfId="0" applyFont="1" applyBorder="1" applyAlignment="1" applyProtection="1">
      <alignment horizontal="left" vertical="center"/>
    </xf>
    <xf numFmtId="165" fontId="20" fillId="6" borderId="8" xfId="0" applyNumberFormat="1" applyFont="1" applyFill="1" applyBorder="1" applyAlignment="1" applyProtection="1">
      <alignment horizontal="center" vertical="center"/>
      <protection locked="0"/>
    </xf>
    <xf numFmtId="165" fontId="20" fillId="6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Border="1" applyAlignment="1" applyProtection="1">
      <alignment horizontal="right" vertical="center"/>
    </xf>
    <xf numFmtId="0" fontId="25" fillId="0" borderId="29" xfId="0" applyFont="1" applyBorder="1" applyAlignment="1" applyProtection="1">
      <alignment horizontal="right" vertical="center"/>
    </xf>
    <xf numFmtId="0" fontId="25" fillId="0" borderId="30" xfId="0" applyFont="1" applyBorder="1" applyAlignment="1" applyProtection="1">
      <alignment horizontal="right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0" fillId="0" borderId="17" xfId="0" applyFont="1" applyBorder="1" applyAlignment="1" applyProtection="1">
      <alignment horizontal="left" vertical="center"/>
    </xf>
    <xf numFmtId="0" fontId="20" fillId="0" borderId="18" xfId="0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164" fontId="20" fillId="6" borderId="36" xfId="0" applyNumberFormat="1" applyFont="1" applyFill="1" applyBorder="1" applyAlignment="1" applyProtection="1">
      <alignment horizontal="center" vertical="center"/>
      <protection locked="0"/>
    </xf>
    <xf numFmtId="164" fontId="20" fillId="6" borderId="37" xfId="0" applyNumberFormat="1" applyFont="1" applyFill="1" applyBorder="1" applyAlignment="1" applyProtection="1">
      <alignment horizontal="center" vertical="center"/>
      <protection locked="0"/>
    </xf>
    <xf numFmtId="164" fontId="20" fillId="6" borderId="28" xfId="0" applyNumberFormat="1" applyFont="1" applyFill="1" applyBorder="1" applyAlignment="1" applyProtection="1">
      <alignment horizontal="center" vertical="center"/>
      <protection locked="0"/>
    </xf>
    <xf numFmtId="164" fontId="20" fillId="6" borderId="24" xfId="0" applyNumberFormat="1" applyFont="1" applyFill="1" applyBorder="1" applyAlignment="1" applyProtection="1">
      <alignment horizontal="center" vertical="center"/>
      <protection locked="0"/>
    </xf>
    <xf numFmtId="166" fontId="21" fillId="0" borderId="2" xfId="0" applyNumberFormat="1" applyFont="1" applyBorder="1" applyAlignment="1" applyProtection="1">
      <alignment horizontal="left" vertical="center"/>
    </xf>
    <xf numFmtId="166" fontId="21" fillId="0" borderId="1" xfId="0" applyNumberFormat="1" applyFont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9" fontId="36" fillId="0" borderId="0" xfId="0" applyNumberFormat="1" applyFont="1" applyFill="1" applyBorder="1" applyAlignment="1" applyProtection="1">
      <alignment horizontal="center" wrapText="1"/>
    </xf>
    <xf numFmtId="0" fontId="21" fillId="0" borderId="7" xfId="0" applyFont="1" applyBorder="1" applyAlignment="1" applyProtection="1">
      <alignment vertical="center"/>
    </xf>
    <xf numFmtId="0" fontId="21" fillId="0" borderId="8" xfId="0" applyFont="1" applyBorder="1" applyAlignment="1" applyProtection="1">
      <alignment vertical="center"/>
    </xf>
    <xf numFmtId="0" fontId="27" fillId="0" borderId="7" xfId="0" applyFont="1" applyBorder="1" applyAlignment="1" applyProtection="1">
      <alignment horizontal="left" vertical="center"/>
    </xf>
    <xf numFmtId="0" fontId="27" fillId="0" borderId="8" xfId="0" applyFont="1" applyBorder="1" applyAlignment="1" applyProtection="1">
      <alignment horizontal="left" vertical="center"/>
    </xf>
    <xf numFmtId="165" fontId="20" fillId="6" borderId="26" xfId="0" applyNumberFormat="1" applyFont="1" applyFill="1" applyBorder="1" applyAlignment="1" applyProtection="1">
      <alignment horizontal="center" vertical="center"/>
      <protection locked="0"/>
    </xf>
    <xf numFmtId="165" fontId="20" fillId="6" borderId="25" xfId="0" applyNumberFormat="1" applyFont="1" applyFill="1" applyBorder="1" applyAlignment="1" applyProtection="1">
      <alignment horizontal="center" vertical="center"/>
      <protection locked="0"/>
    </xf>
    <xf numFmtId="169" fontId="21" fillId="0" borderId="48" xfId="0" applyNumberFormat="1" applyFont="1" applyBorder="1" applyAlignment="1" applyProtection="1">
      <alignment horizontal="right" vertical="center"/>
    </xf>
    <xf numFmtId="169" fontId="21" fillId="0" borderId="49" xfId="0" applyNumberFormat="1" applyFont="1" applyBorder="1" applyAlignment="1" applyProtection="1">
      <alignment horizontal="right" vertical="center"/>
    </xf>
    <xf numFmtId="0" fontId="21" fillId="2" borderId="47" xfId="0" applyFont="1" applyFill="1" applyBorder="1" applyAlignment="1" applyProtection="1">
      <alignment horizontal="center" vertical="center"/>
    </xf>
    <xf numFmtId="0" fontId="21" fillId="2" borderId="28" xfId="0" applyFon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164" fontId="0" fillId="0" borderId="1" xfId="0" applyNumberFormat="1" applyFill="1" applyBorder="1" applyAlignment="1" applyProtection="1">
      <alignment horizontal="center" vertical="center"/>
    </xf>
    <xf numFmtId="0" fontId="25" fillId="0" borderId="47" xfId="0" applyFont="1" applyBorder="1" applyAlignment="1" applyProtection="1">
      <alignment horizontal="left" vertical="center"/>
    </xf>
    <xf numFmtId="0" fontId="25" fillId="0" borderId="28" xfId="0" applyFont="1" applyBorder="1" applyAlignment="1" applyProtection="1">
      <alignment horizontal="left" vertical="center"/>
    </xf>
    <xf numFmtId="165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0" fillId="6" borderId="6" xfId="0" applyNumberFormat="1" applyFont="1" applyFill="1" applyBorder="1" applyAlignment="1" applyProtection="1">
      <alignment horizontal="center" vertical="center"/>
      <protection locked="0"/>
    </xf>
    <xf numFmtId="166" fontId="0" fillId="0" borderId="6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7" fillId="0" borderId="20" xfId="0" applyFont="1" applyFill="1" applyBorder="1" applyAlignment="1" applyProtection="1">
      <alignment horizontal="right" vertical="center"/>
    </xf>
    <xf numFmtId="0" fontId="27" fillId="0" borderId="28" xfId="0" applyFont="1" applyFill="1" applyBorder="1" applyAlignment="1" applyProtection="1">
      <alignment horizontal="right" vertical="center"/>
    </xf>
    <xf numFmtId="0" fontId="27" fillId="0" borderId="33" xfId="0" applyFont="1" applyFill="1" applyBorder="1" applyAlignment="1" applyProtection="1">
      <alignment horizontal="right" vertical="center"/>
    </xf>
    <xf numFmtId="166" fontId="0" fillId="0" borderId="34" xfId="0" applyNumberFormat="1" applyFill="1" applyBorder="1" applyAlignment="1" applyProtection="1">
      <alignment horizontal="center" vertical="center"/>
    </xf>
    <xf numFmtId="169" fontId="37" fillId="0" borderId="0" xfId="0" applyNumberFormat="1" applyFont="1" applyFill="1" applyBorder="1" applyAlignment="1" applyProtection="1">
      <alignment horizontal="center" wrapText="1"/>
    </xf>
    <xf numFmtId="0" fontId="21" fillId="0" borderId="27" xfId="0" applyFont="1" applyBorder="1" applyAlignment="1" applyProtection="1">
      <alignment vertical="center"/>
    </xf>
    <xf numFmtId="0" fontId="21" fillId="0" borderId="15" xfId="0" applyFont="1" applyBorder="1" applyAlignment="1" applyProtection="1">
      <alignment vertical="center"/>
    </xf>
    <xf numFmtId="164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4" xfId="0" applyNumberFormat="1" applyFont="1" applyFill="1" applyBorder="1" applyAlignment="1" applyProtection="1">
      <alignment horizontal="center" vertical="center"/>
      <protection locked="0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8" xfId="0" applyNumberFormat="1" applyFont="1" applyFill="1" applyBorder="1" applyAlignment="1" applyProtection="1">
      <alignment horizontal="center" vertical="center"/>
      <protection locked="0"/>
    </xf>
    <xf numFmtId="165" fontId="20" fillId="2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3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 wrapText="1"/>
    </xf>
    <xf numFmtId="0" fontId="20" fillId="0" borderId="1" xfId="0" applyFont="1" applyBorder="1" applyAlignment="1" applyProtection="1">
      <alignment horizontal="left" vertical="center" wrapText="1"/>
    </xf>
    <xf numFmtId="0" fontId="24" fillId="0" borderId="7" xfId="0" applyFont="1" applyBorder="1" applyAlignment="1" applyProtection="1">
      <alignment horizontal="left" vertical="center" wrapText="1"/>
    </xf>
    <xf numFmtId="0" fontId="24" fillId="0" borderId="8" xfId="0" applyFont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right" vertical="center"/>
    </xf>
    <xf numFmtId="0" fontId="20" fillId="0" borderId="0" xfId="0" applyFont="1" applyBorder="1" applyAlignment="1" applyProtection="1">
      <alignment horizontal="left" vertical="center"/>
    </xf>
    <xf numFmtId="0" fontId="9" fillId="0" borderId="11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24" fillId="0" borderId="2" xfId="0" applyFont="1" applyBorder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 wrapText="1"/>
    </xf>
    <xf numFmtId="0" fontId="27" fillId="0" borderId="8" xfId="0" applyFont="1" applyBorder="1" applyAlignment="1" applyProtection="1">
      <alignment horizontal="left" vertical="center" wrapText="1"/>
    </xf>
    <xf numFmtId="166" fontId="21" fillId="0" borderId="27" xfId="0" applyNumberFormat="1" applyFont="1" applyBorder="1" applyAlignment="1" applyProtection="1">
      <alignment horizontal="left" vertical="center"/>
    </xf>
    <xf numFmtId="166" fontId="21" fillId="0" borderId="15" xfId="0" applyNumberFormat="1" applyFont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vertical="center"/>
    </xf>
    <xf numFmtId="165" fontId="27" fillId="6" borderId="28" xfId="0" applyNumberFormat="1" applyFont="1" applyFill="1" applyBorder="1" applyAlignment="1" applyProtection="1">
      <alignment horizontal="center" vertical="center"/>
      <protection locked="0"/>
    </xf>
    <xf numFmtId="165" fontId="27" fillId="6" borderId="24" xfId="0" applyNumberFormat="1" applyFont="1" applyFill="1" applyBorder="1" applyAlignment="1" applyProtection="1">
      <alignment horizontal="center" vertical="center"/>
      <protection locked="0"/>
    </xf>
    <xf numFmtId="169" fontId="21" fillId="0" borderId="35" xfId="0" applyNumberFormat="1" applyFont="1" applyBorder="1" applyAlignment="1" applyProtection="1">
      <alignment horizontal="right" vertical="center"/>
    </xf>
    <xf numFmtId="0" fontId="9" fillId="0" borderId="38" xfId="0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0" applyFont="1" applyFill="1" applyBorder="1" applyAlignment="1" applyProtection="1">
      <alignment horizontal="left" vertical="center"/>
    </xf>
    <xf numFmtId="0" fontId="27" fillId="0" borderId="8" xfId="0" applyFont="1" applyFill="1" applyBorder="1" applyAlignment="1" applyProtection="1">
      <alignment horizontal="left"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165" fontId="20" fillId="6" borderId="43" xfId="0" applyNumberFormat="1" applyFont="1" applyFill="1" applyBorder="1" applyAlignment="1" applyProtection="1">
      <alignment horizontal="center" vertical="center"/>
      <protection locked="0"/>
    </xf>
    <xf numFmtId="0" fontId="24" fillId="0" borderId="47" xfId="0" applyFont="1" applyFill="1" applyBorder="1" applyAlignment="1" applyProtection="1">
      <alignment vertical="center"/>
    </xf>
    <xf numFmtId="0" fontId="24" fillId="0" borderId="28" xfId="0" applyFont="1" applyFill="1" applyBorder="1" applyAlignment="1" applyProtection="1">
      <alignment vertical="center"/>
    </xf>
    <xf numFmtId="0" fontId="24" fillId="0" borderId="33" xfId="0" applyFont="1" applyFill="1" applyBorder="1" applyAlignment="1" applyProtection="1">
      <alignment vertical="center"/>
    </xf>
    <xf numFmtId="165" fontId="20" fillId="0" borderId="20" xfId="0" applyNumberFormat="1" applyFont="1" applyFill="1" applyBorder="1" applyAlignment="1" applyProtection="1">
      <alignment horizontal="center" vertical="center"/>
    </xf>
    <xf numFmtId="0" fontId="21" fillId="0" borderId="47" xfId="0" applyFont="1" applyFill="1" applyBorder="1" applyAlignment="1" applyProtection="1">
      <alignment vertical="center"/>
    </xf>
    <xf numFmtId="0" fontId="21" fillId="0" borderId="28" xfId="0" applyFont="1" applyFill="1" applyBorder="1" applyAlignment="1" applyProtection="1">
      <alignment vertical="center"/>
    </xf>
    <xf numFmtId="0" fontId="21" fillId="0" borderId="33" xfId="0" applyFont="1" applyFill="1" applyBorder="1" applyAlignment="1" applyProtection="1">
      <alignment vertical="center"/>
    </xf>
    <xf numFmtId="0" fontId="21" fillId="0" borderId="52" xfId="0" applyFont="1" applyBorder="1" applyAlignment="1" applyProtection="1">
      <alignment vertical="center"/>
    </xf>
    <xf numFmtId="0" fontId="21" fillId="0" borderId="26" xfId="0" applyFont="1" applyBorder="1" applyAlignment="1" applyProtection="1">
      <alignment vertical="center"/>
    </xf>
    <xf numFmtId="0" fontId="21" fillId="0" borderId="35" xfId="0" applyFont="1" applyBorder="1" applyAlignment="1" applyProtection="1">
      <alignment vertical="center"/>
    </xf>
    <xf numFmtId="169" fontId="21" fillId="0" borderId="42" xfId="0" applyNumberFormat="1" applyFont="1" applyBorder="1" applyAlignment="1" applyProtection="1">
      <alignment horizontal="center" vertical="center"/>
    </xf>
    <xf numFmtId="169" fontId="21" fillId="0" borderId="46" xfId="0" applyNumberFormat="1" applyFont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/>
    </xf>
    <xf numFmtId="0" fontId="25" fillId="0" borderId="33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39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39" xfId="0" applyFont="1" applyFill="1" applyBorder="1" applyAlignment="1" applyProtection="1">
      <alignment horizontal="center" vertical="center" wrapText="1"/>
    </xf>
    <xf numFmtId="170" fontId="12" fillId="0" borderId="15" xfId="0" applyNumberFormat="1" applyFont="1" applyBorder="1" applyAlignment="1" applyProtection="1">
      <alignment horizontal="center" vertical="center"/>
    </xf>
    <xf numFmtId="170" fontId="12" fillId="0" borderId="39" xfId="0" applyNumberFormat="1" applyFont="1" applyBorder="1" applyAlignment="1" applyProtection="1">
      <alignment horizontal="center" vertical="center"/>
    </xf>
    <xf numFmtId="170" fontId="12" fillId="0" borderId="16" xfId="0" applyNumberFormat="1" applyFont="1" applyBorder="1" applyAlignment="1" applyProtection="1">
      <alignment horizontal="center" vertical="center"/>
    </xf>
    <xf numFmtId="0" fontId="12" fillId="0" borderId="39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39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5" xfId="0" applyFont="1" applyFill="1" applyBorder="1" applyAlignment="1" applyProtection="1">
      <alignment horizontal="center" vertical="center"/>
    </xf>
    <xf numFmtId="0" fontId="14" fillId="0" borderId="39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 wrapText="1"/>
    </xf>
    <xf numFmtId="0" fontId="18" fillId="0" borderId="39" xfId="0" applyFont="1" applyFill="1" applyBorder="1" applyAlignment="1" applyProtection="1">
      <alignment horizontal="center" vertical="center" wrapText="1"/>
    </xf>
    <xf numFmtId="0" fontId="18" fillId="0" borderId="16" xfId="0" applyFont="1" applyFill="1" applyBorder="1" applyAlignment="1" applyProtection="1">
      <alignment horizontal="center" vertical="center" wrapText="1"/>
    </xf>
    <xf numFmtId="0" fontId="14" fillId="0" borderId="15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170" fontId="12" fillId="0" borderId="15" xfId="0" applyNumberFormat="1" applyFont="1" applyFill="1" applyBorder="1" applyAlignment="1" applyProtection="1">
      <alignment horizontal="center" vertical="center"/>
    </xf>
    <xf numFmtId="170" fontId="12" fillId="0" borderId="39" xfId="0" applyNumberFormat="1" applyFont="1" applyFill="1" applyBorder="1" applyAlignment="1" applyProtection="1">
      <alignment horizontal="center" vertical="center"/>
    </xf>
    <xf numFmtId="170" fontId="12" fillId="0" borderId="16" xfId="0" applyNumberFormat="1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39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40" fillId="0" borderId="1" xfId="0" applyFont="1" applyBorder="1" applyAlignment="1" applyProtection="1">
      <alignment horizontal="center" vertical="center"/>
    </xf>
    <xf numFmtId="0" fontId="25" fillId="0" borderId="53" xfId="0" applyFont="1" applyBorder="1" applyAlignment="1" applyProtection="1">
      <alignment horizontal="left" vertical="center"/>
    </xf>
    <xf numFmtId="0" fontId="25" fillId="0" borderId="29" xfId="0" applyFont="1" applyBorder="1" applyAlignment="1" applyProtection="1">
      <alignment horizontal="left" vertical="center"/>
    </xf>
    <xf numFmtId="0" fontId="25" fillId="0" borderId="54" xfId="0" applyFont="1" applyBorder="1" applyAlignment="1" applyProtection="1">
      <alignment horizontal="left" vertical="center"/>
    </xf>
    <xf numFmtId="183" fontId="21" fillId="0" borderId="6" xfId="0" applyNumberFormat="1" applyFont="1" applyFill="1" applyBorder="1" applyAlignment="1" applyProtection="1">
      <alignment horizontal="center" vertical="center" wrapText="1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</cellXfs>
  <cellStyles count="3287">
    <cellStyle name="Гиперссылка" xfId="2" builtinId="8"/>
    <cellStyle name="Гиперссылка 2" xfId="8"/>
    <cellStyle name="Денежный 2" xfId="13"/>
    <cellStyle name="Денежный 3" xfId="14"/>
    <cellStyle name="Денежный 3 2" xfId="26"/>
    <cellStyle name="Денежный 3 3" xfId="33"/>
    <cellStyle name="Денежный 3 3 2" xfId="128"/>
    <cellStyle name="Денежный 3 3 3" xfId="80"/>
    <cellStyle name="Денежный 4" xfId="7"/>
    <cellStyle name="Денежный 4 2" xfId="16"/>
    <cellStyle name="Денежный 4 3" xfId="15"/>
    <cellStyle name="Денежный 5" xfId="115"/>
    <cellStyle name="Денежный 6" xfId="9"/>
    <cellStyle name="Обычный" xfId="0" builtinId="0"/>
    <cellStyle name="Обычный 2" xfId="10"/>
    <cellStyle name="Обычный 2 10" xfId="306"/>
    <cellStyle name="Обычный 2 10 2" xfId="849"/>
    <cellStyle name="Обычный 2 10 2 2" xfId="2463"/>
    <cellStyle name="Обычный 2 10 3" xfId="1385"/>
    <cellStyle name="Обычный 2 10 3 2" xfId="2999"/>
    <cellStyle name="Обычный 2 10 4" xfId="1921"/>
    <cellStyle name="Обычный 2 11" xfId="575"/>
    <cellStyle name="Обычный 2 11 2" xfId="2189"/>
    <cellStyle name="Обычный 2 12" xfId="1117"/>
    <cellStyle name="Обычный 2 12 2" xfId="2731"/>
    <cellStyle name="Обычный 2 13" xfId="1653"/>
    <cellStyle name="Обычный 2 2" xfId="6"/>
    <cellStyle name="Обычный 2 3" xfId="23"/>
    <cellStyle name="Обычный 2 3 10" xfId="311"/>
    <cellStyle name="Обычный 2 3 10 2" xfId="854"/>
    <cellStyle name="Обычный 2 3 10 2 2" xfId="2468"/>
    <cellStyle name="Обычный 2 3 10 3" xfId="1390"/>
    <cellStyle name="Обычный 2 3 10 3 2" xfId="3004"/>
    <cellStyle name="Обычный 2 3 10 4" xfId="1926"/>
    <cellStyle name="Обычный 2 3 11" xfId="582"/>
    <cellStyle name="Обычный 2 3 11 2" xfId="2196"/>
    <cellStyle name="Обычный 2 3 12" xfId="1122"/>
    <cellStyle name="Обычный 2 3 12 2" xfId="2736"/>
    <cellStyle name="Обычный 2 3 13" xfId="1658"/>
    <cellStyle name="Обычный 2 3 2" xfId="46"/>
    <cellStyle name="Обычный 2 3 2 2" xfId="64"/>
    <cellStyle name="Обычный 2 3 2 2 2" xfId="159"/>
    <cellStyle name="Обычный 2 3 2 2 2 2" xfId="298"/>
    <cellStyle name="Обычный 2 3 2 2 2 2 2" xfId="566"/>
    <cellStyle name="Обычный 2 3 2 2 2 2 2 2" xfId="1109"/>
    <cellStyle name="Обычный 2 3 2 2 2 2 2 2 2" xfId="2723"/>
    <cellStyle name="Обычный 2 3 2 2 2 2 2 3" xfId="1645"/>
    <cellStyle name="Обычный 2 3 2 2 2 2 2 3 2" xfId="3259"/>
    <cellStyle name="Обычный 2 3 2 2 2 2 2 4" xfId="2181"/>
    <cellStyle name="Обычный 2 3 2 2 2 2 3" xfId="841"/>
    <cellStyle name="Обычный 2 3 2 2 2 2 3 2" xfId="2455"/>
    <cellStyle name="Обычный 2 3 2 2 2 2 4" xfId="1377"/>
    <cellStyle name="Обычный 2 3 2 2 2 2 4 2" xfId="2991"/>
    <cellStyle name="Обычный 2 3 2 2 2 2 5" xfId="1913"/>
    <cellStyle name="Обычный 2 3 2 2 2 3" xfId="434"/>
    <cellStyle name="Обычный 2 3 2 2 2 3 2" xfId="977"/>
    <cellStyle name="Обычный 2 3 2 2 2 3 2 2" xfId="2591"/>
    <cellStyle name="Обычный 2 3 2 2 2 3 3" xfId="1513"/>
    <cellStyle name="Обычный 2 3 2 2 2 3 3 2" xfId="3127"/>
    <cellStyle name="Обычный 2 3 2 2 2 3 4" xfId="2049"/>
    <cellStyle name="Обычный 2 3 2 2 2 4" xfId="709"/>
    <cellStyle name="Обычный 2 3 2 2 2 4 2" xfId="2323"/>
    <cellStyle name="Обычный 2 3 2 2 2 5" xfId="1245"/>
    <cellStyle name="Обычный 2 3 2 2 2 5 2" xfId="2859"/>
    <cellStyle name="Обычный 2 3 2 2 2 6" xfId="1781"/>
    <cellStyle name="Обычный 2 3 2 2 3" xfId="111"/>
    <cellStyle name="Обычный 2 3 2 2 3 2" xfId="253"/>
    <cellStyle name="Обычный 2 3 2 2 3 2 2" xfId="522"/>
    <cellStyle name="Обычный 2 3 2 2 3 2 2 2" xfId="1065"/>
    <cellStyle name="Обычный 2 3 2 2 3 2 2 2 2" xfId="2679"/>
    <cellStyle name="Обычный 2 3 2 2 3 2 2 3" xfId="1601"/>
    <cellStyle name="Обычный 2 3 2 2 3 2 2 3 2" xfId="3215"/>
    <cellStyle name="Обычный 2 3 2 2 3 2 2 4" xfId="2137"/>
    <cellStyle name="Обычный 2 3 2 2 3 2 3" xfId="797"/>
    <cellStyle name="Обычный 2 3 2 2 3 2 3 2" xfId="2411"/>
    <cellStyle name="Обычный 2 3 2 2 3 2 4" xfId="1333"/>
    <cellStyle name="Обычный 2 3 2 2 3 2 4 2" xfId="2947"/>
    <cellStyle name="Обычный 2 3 2 2 3 2 5" xfId="1869"/>
    <cellStyle name="Обычный 2 3 2 2 3 3" xfId="390"/>
    <cellStyle name="Обычный 2 3 2 2 3 3 2" xfId="933"/>
    <cellStyle name="Обычный 2 3 2 2 3 3 2 2" xfId="2547"/>
    <cellStyle name="Обычный 2 3 2 2 3 3 3" xfId="1469"/>
    <cellStyle name="Обычный 2 3 2 2 3 3 3 2" xfId="3083"/>
    <cellStyle name="Обычный 2 3 2 2 3 3 4" xfId="2005"/>
    <cellStyle name="Обычный 2 3 2 2 3 4" xfId="664"/>
    <cellStyle name="Обычный 2 3 2 2 3 4 2" xfId="2278"/>
    <cellStyle name="Обычный 2 3 2 2 3 5" xfId="1201"/>
    <cellStyle name="Обычный 2 3 2 2 3 5 2" xfId="2815"/>
    <cellStyle name="Обычный 2 3 2 2 3 6" xfId="1737"/>
    <cellStyle name="Обычный 2 3 2 2 4" xfId="208"/>
    <cellStyle name="Обычный 2 3 2 2 4 2" xfId="478"/>
    <cellStyle name="Обычный 2 3 2 2 4 2 2" xfId="1021"/>
    <cellStyle name="Обычный 2 3 2 2 4 2 2 2" xfId="2635"/>
    <cellStyle name="Обычный 2 3 2 2 4 2 3" xfId="1557"/>
    <cellStyle name="Обычный 2 3 2 2 4 2 3 2" xfId="3171"/>
    <cellStyle name="Обычный 2 3 2 2 4 2 4" xfId="2093"/>
    <cellStyle name="Обычный 2 3 2 2 4 3" xfId="753"/>
    <cellStyle name="Обычный 2 3 2 2 4 3 2" xfId="2367"/>
    <cellStyle name="Обычный 2 3 2 2 4 4" xfId="1289"/>
    <cellStyle name="Обычный 2 3 2 2 4 4 2" xfId="2903"/>
    <cellStyle name="Обычный 2 3 2 2 4 5" xfId="1825"/>
    <cellStyle name="Обычный 2 3 2 2 5" xfId="346"/>
    <cellStyle name="Обычный 2 3 2 2 5 2" xfId="889"/>
    <cellStyle name="Обычный 2 3 2 2 5 2 2" xfId="2503"/>
    <cellStyle name="Обычный 2 3 2 2 5 3" xfId="1425"/>
    <cellStyle name="Обычный 2 3 2 2 5 3 2" xfId="3039"/>
    <cellStyle name="Обычный 2 3 2 2 5 4" xfId="1961"/>
    <cellStyle name="Обычный 2 3 2 2 6" xfId="619"/>
    <cellStyle name="Обычный 2 3 2 2 6 2" xfId="2233"/>
    <cellStyle name="Обычный 2 3 2 2 7" xfId="1157"/>
    <cellStyle name="Обычный 2 3 2 2 7 2" xfId="2771"/>
    <cellStyle name="Обычный 2 3 2 2 8" xfId="1693"/>
    <cellStyle name="Обычный 2 3 2 3" xfId="141"/>
    <cellStyle name="Обычный 2 3 2 3 2" xfId="280"/>
    <cellStyle name="Обычный 2 3 2 3 2 2" xfId="548"/>
    <cellStyle name="Обычный 2 3 2 3 2 2 2" xfId="1091"/>
    <cellStyle name="Обычный 2 3 2 3 2 2 2 2" xfId="2705"/>
    <cellStyle name="Обычный 2 3 2 3 2 2 3" xfId="1627"/>
    <cellStyle name="Обычный 2 3 2 3 2 2 3 2" xfId="3241"/>
    <cellStyle name="Обычный 2 3 2 3 2 2 4" xfId="2163"/>
    <cellStyle name="Обычный 2 3 2 3 2 3" xfId="823"/>
    <cellStyle name="Обычный 2 3 2 3 2 3 2" xfId="2437"/>
    <cellStyle name="Обычный 2 3 2 3 2 4" xfId="1359"/>
    <cellStyle name="Обычный 2 3 2 3 2 4 2" xfId="2973"/>
    <cellStyle name="Обычный 2 3 2 3 2 5" xfId="1895"/>
    <cellStyle name="Обычный 2 3 2 3 3" xfId="416"/>
    <cellStyle name="Обычный 2 3 2 3 3 2" xfId="959"/>
    <cellStyle name="Обычный 2 3 2 3 3 2 2" xfId="2573"/>
    <cellStyle name="Обычный 2 3 2 3 3 3" xfId="1495"/>
    <cellStyle name="Обычный 2 3 2 3 3 3 2" xfId="3109"/>
    <cellStyle name="Обычный 2 3 2 3 3 4" xfId="2031"/>
    <cellStyle name="Обычный 2 3 2 3 4" xfId="691"/>
    <cellStyle name="Обычный 2 3 2 3 4 2" xfId="2305"/>
    <cellStyle name="Обычный 2 3 2 3 5" xfId="1227"/>
    <cellStyle name="Обычный 2 3 2 3 5 2" xfId="2841"/>
    <cellStyle name="Обычный 2 3 2 3 6" xfId="1763"/>
    <cellStyle name="Обычный 2 3 2 4" xfId="93"/>
    <cellStyle name="Обычный 2 3 2 4 2" xfId="235"/>
    <cellStyle name="Обычный 2 3 2 4 2 2" xfId="504"/>
    <cellStyle name="Обычный 2 3 2 4 2 2 2" xfId="1047"/>
    <cellStyle name="Обычный 2 3 2 4 2 2 2 2" xfId="2661"/>
    <cellStyle name="Обычный 2 3 2 4 2 2 3" xfId="1583"/>
    <cellStyle name="Обычный 2 3 2 4 2 2 3 2" xfId="3197"/>
    <cellStyle name="Обычный 2 3 2 4 2 2 4" xfId="2119"/>
    <cellStyle name="Обычный 2 3 2 4 2 3" xfId="779"/>
    <cellStyle name="Обычный 2 3 2 4 2 3 2" xfId="2393"/>
    <cellStyle name="Обычный 2 3 2 4 2 4" xfId="1315"/>
    <cellStyle name="Обычный 2 3 2 4 2 4 2" xfId="2929"/>
    <cellStyle name="Обычный 2 3 2 4 2 5" xfId="1851"/>
    <cellStyle name="Обычный 2 3 2 4 3" xfId="372"/>
    <cellStyle name="Обычный 2 3 2 4 3 2" xfId="915"/>
    <cellStyle name="Обычный 2 3 2 4 3 2 2" xfId="2529"/>
    <cellStyle name="Обычный 2 3 2 4 3 3" xfId="1451"/>
    <cellStyle name="Обычный 2 3 2 4 3 3 2" xfId="3065"/>
    <cellStyle name="Обычный 2 3 2 4 3 4" xfId="1987"/>
    <cellStyle name="Обычный 2 3 2 4 4" xfId="646"/>
    <cellStyle name="Обычный 2 3 2 4 4 2" xfId="2260"/>
    <cellStyle name="Обычный 2 3 2 4 5" xfId="1183"/>
    <cellStyle name="Обычный 2 3 2 4 5 2" xfId="2797"/>
    <cellStyle name="Обычный 2 3 2 4 6" xfId="1719"/>
    <cellStyle name="Обычный 2 3 2 5" xfId="190"/>
    <cellStyle name="Обычный 2 3 2 5 2" xfId="460"/>
    <cellStyle name="Обычный 2 3 2 5 2 2" xfId="1003"/>
    <cellStyle name="Обычный 2 3 2 5 2 2 2" xfId="2617"/>
    <cellStyle name="Обычный 2 3 2 5 2 3" xfId="1539"/>
    <cellStyle name="Обычный 2 3 2 5 2 3 2" xfId="3153"/>
    <cellStyle name="Обычный 2 3 2 5 2 4" xfId="2075"/>
    <cellStyle name="Обычный 2 3 2 5 3" xfId="735"/>
    <cellStyle name="Обычный 2 3 2 5 3 2" xfId="2349"/>
    <cellStyle name="Обычный 2 3 2 5 4" xfId="1271"/>
    <cellStyle name="Обычный 2 3 2 5 4 2" xfId="2885"/>
    <cellStyle name="Обычный 2 3 2 5 5" xfId="1807"/>
    <cellStyle name="Обычный 2 3 2 6" xfId="328"/>
    <cellStyle name="Обычный 2 3 2 6 2" xfId="871"/>
    <cellStyle name="Обычный 2 3 2 6 2 2" xfId="2485"/>
    <cellStyle name="Обычный 2 3 2 6 3" xfId="1407"/>
    <cellStyle name="Обычный 2 3 2 6 3 2" xfId="3021"/>
    <cellStyle name="Обычный 2 3 2 6 4" xfId="1943"/>
    <cellStyle name="Обычный 2 3 2 7" xfId="601"/>
    <cellStyle name="Обычный 2 3 2 7 2" xfId="2215"/>
    <cellStyle name="Обычный 2 3 2 8" xfId="1139"/>
    <cellStyle name="Обычный 2 3 2 8 2" xfId="2753"/>
    <cellStyle name="Обычный 2 3 2 9" xfId="1675"/>
    <cellStyle name="Обычный 2 3 3" xfId="37"/>
    <cellStyle name="Обычный 2 3 3 2" xfId="132"/>
    <cellStyle name="Обычный 2 3 3 2 2" xfId="271"/>
    <cellStyle name="Обычный 2 3 3 2 2 2" xfId="539"/>
    <cellStyle name="Обычный 2 3 3 2 2 2 2" xfId="1082"/>
    <cellStyle name="Обычный 2 3 3 2 2 2 2 2" xfId="2696"/>
    <cellStyle name="Обычный 2 3 3 2 2 2 3" xfId="1618"/>
    <cellStyle name="Обычный 2 3 3 2 2 2 3 2" xfId="3232"/>
    <cellStyle name="Обычный 2 3 3 2 2 2 4" xfId="2154"/>
    <cellStyle name="Обычный 2 3 3 2 2 3" xfId="814"/>
    <cellStyle name="Обычный 2 3 3 2 2 3 2" xfId="2428"/>
    <cellStyle name="Обычный 2 3 3 2 2 4" xfId="1350"/>
    <cellStyle name="Обычный 2 3 3 2 2 4 2" xfId="2964"/>
    <cellStyle name="Обычный 2 3 3 2 2 5" xfId="1886"/>
    <cellStyle name="Обычный 2 3 3 2 3" xfId="407"/>
    <cellStyle name="Обычный 2 3 3 2 3 2" xfId="950"/>
    <cellStyle name="Обычный 2 3 3 2 3 2 2" xfId="2564"/>
    <cellStyle name="Обычный 2 3 3 2 3 3" xfId="1486"/>
    <cellStyle name="Обычный 2 3 3 2 3 3 2" xfId="3100"/>
    <cellStyle name="Обычный 2 3 3 2 3 4" xfId="2022"/>
    <cellStyle name="Обычный 2 3 3 2 4" xfId="682"/>
    <cellStyle name="Обычный 2 3 3 2 4 2" xfId="2296"/>
    <cellStyle name="Обычный 2 3 3 2 5" xfId="1218"/>
    <cellStyle name="Обычный 2 3 3 2 5 2" xfId="2832"/>
    <cellStyle name="Обычный 2 3 3 2 6" xfId="1754"/>
    <cellStyle name="Обычный 2 3 3 3" xfId="84"/>
    <cellStyle name="Обычный 2 3 3 3 2" xfId="226"/>
    <cellStyle name="Обычный 2 3 3 3 2 2" xfId="495"/>
    <cellStyle name="Обычный 2 3 3 3 2 2 2" xfId="1038"/>
    <cellStyle name="Обычный 2 3 3 3 2 2 2 2" xfId="2652"/>
    <cellStyle name="Обычный 2 3 3 3 2 2 3" xfId="1574"/>
    <cellStyle name="Обычный 2 3 3 3 2 2 3 2" xfId="3188"/>
    <cellStyle name="Обычный 2 3 3 3 2 2 4" xfId="2110"/>
    <cellStyle name="Обычный 2 3 3 3 2 3" xfId="770"/>
    <cellStyle name="Обычный 2 3 3 3 2 3 2" xfId="2384"/>
    <cellStyle name="Обычный 2 3 3 3 2 4" xfId="1306"/>
    <cellStyle name="Обычный 2 3 3 3 2 4 2" xfId="2920"/>
    <cellStyle name="Обычный 2 3 3 3 2 5" xfId="1842"/>
    <cellStyle name="Обычный 2 3 3 3 3" xfId="363"/>
    <cellStyle name="Обычный 2 3 3 3 3 2" xfId="906"/>
    <cellStyle name="Обычный 2 3 3 3 3 2 2" xfId="2520"/>
    <cellStyle name="Обычный 2 3 3 3 3 3" xfId="1442"/>
    <cellStyle name="Обычный 2 3 3 3 3 3 2" xfId="3056"/>
    <cellStyle name="Обычный 2 3 3 3 3 4" xfId="1978"/>
    <cellStyle name="Обычный 2 3 3 3 4" xfId="637"/>
    <cellStyle name="Обычный 2 3 3 3 4 2" xfId="2251"/>
    <cellStyle name="Обычный 2 3 3 3 5" xfId="1174"/>
    <cellStyle name="Обычный 2 3 3 3 5 2" xfId="2788"/>
    <cellStyle name="Обычный 2 3 3 3 6" xfId="1710"/>
    <cellStyle name="Обычный 2 3 3 4" xfId="181"/>
    <cellStyle name="Обычный 2 3 3 4 2" xfId="451"/>
    <cellStyle name="Обычный 2 3 3 4 2 2" xfId="994"/>
    <cellStyle name="Обычный 2 3 3 4 2 2 2" xfId="2608"/>
    <cellStyle name="Обычный 2 3 3 4 2 3" xfId="1530"/>
    <cellStyle name="Обычный 2 3 3 4 2 3 2" xfId="3144"/>
    <cellStyle name="Обычный 2 3 3 4 2 4" xfId="2066"/>
    <cellStyle name="Обычный 2 3 3 4 3" xfId="726"/>
    <cellStyle name="Обычный 2 3 3 4 3 2" xfId="2340"/>
    <cellStyle name="Обычный 2 3 3 4 4" xfId="1262"/>
    <cellStyle name="Обычный 2 3 3 4 4 2" xfId="2876"/>
    <cellStyle name="Обычный 2 3 3 4 5" xfId="1798"/>
    <cellStyle name="Обычный 2 3 3 5" xfId="319"/>
    <cellStyle name="Обычный 2 3 3 5 2" xfId="862"/>
    <cellStyle name="Обычный 2 3 3 5 2 2" xfId="2476"/>
    <cellStyle name="Обычный 2 3 3 5 3" xfId="1398"/>
    <cellStyle name="Обычный 2 3 3 5 3 2" xfId="3012"/>
    <cellStyle name="Обычный 2 3 3 5 4" xfId="1934"/>
    <cellStyle name="Обычный 2 3 3 6" xfId="592"/>
    <cellStyle name="Обычный 2 3 3 6 2" xfId="2206"/>
    <cellStyle name="Обычный 2 3 3 7" xfId="1130"/>
    <cellStyle name="Обычный 2 3 3 7 2" xfId="2744"/>
    <cellStyle name="Обычный 2 3 3 8" xfId="1666"/>
    <cellStyle name="Обычный 2 3 4" xfId="54"/>
    <cellStyle name="Обычный 2 3 4 2" xfId="149"/>
    <cellStyle name="Обычный 2 3 4 2 2" xfId="288"/>
    <cellStyle name="Обычный 2 3 4 2 2 2" xfId="556"/>
    <cellStyle name="Обычный 2 3 4 2 2 2 2" xfId="1099"/>
    <cellStyle name="Обычный 2 3 4 2 2 2 2 2" xfId="2713"/>
    <cellStyle name="Обычный 2 3 4 2 2 2 3" xfId="1635"/>
    <cellStyle name="Обычный 2 3 4 2 2 2 3 2" xfId="3249"/>
    <cellStyle name="Обычный 2 3 4 2 2 2 4" xfId="2171"/>
    <cellStyle name="Обычный 2 3 4 2 2 3" xfId="831"/>
    <cellStyle name="Обычный 2 3 4 2 2 3 2" xfId="2445"/>
    <cellStyle name="Обычный 2 3 4 2 2 4" xfId="1367"/>
    <cellStyle name="Обычный 2 3 4 2 2 4 2" xfId="2981"/>
    <cellStyle name="Обычный 2 3 4 2 2 5" xfId="1903"/>
    <cellStyle name="Обычный 2 3 4 2 3" xfId="424"/>
    <cellStyle name="Обычный 2 3 4 2 3 2" xfId="967"/>
    <cellStyle name="Обычный 2 3 4 2 3 2 2" xfId="2581"/>
    <cellStyle name="Обычный 2 3 4 2 3 3" xfId="1503"/>
    <cellStyle name="Обычный 2 3 4 2 3 3 2" xfId="3117"/>
    <cellStyle name="Обычный 2 3 4 2 3 4" xfId="2039"/>
    <cellStyle name="Обычный 2 3 4 2 4" xfId="699"/>
    <cellStyle name="Обычный 2 3 4 2 4 2" xfId="2313"/>
    <cellStyle name="Обычный 2 3 4 2 5" xfId="1235"/>
    <cellStyle name="Обычный 2 3 4 2 5 2" xfId="2849"/>
    <cellStyle name="Обычный 2 3 4 2 6" xfId="1771"/>
    <cellStyle name="Обычный 2 3 4 3" xfId="101"/>
    <cellStyle name="Обычный 2 3 4 3 2" xfId="243"/>
    <cellStyle name="Обычный 2 3 4 3 2 2" xfId="512"/>
    <cellStyle name="Обычный 2 3 4 3 2 2 2" xfId="1055"/>
    <cellStyle name="Обычный 2 3 4 3 2 2 2 2" xfId="2669"/>
    <cellStyle name="Обычный 2 3 4 3 2 2 3" xfId="1591"/>
    <cellStyle name="Обычный 2 3 4 3 2 2 3 2" xfId="3205"/>
    <cellStyle name="Обычный 2 3 4 3 2 2 4" xfId="2127"/>
    <cellStyle name="Обычный 2 3 4 3 2 3" xfId="787"/>
    <cellStyle name="Обычный 2 3 4 3 2 3 2" xfId="2401"/>
    <cellStyle name="Обычный 2 3 4 3 2 4" xfId="1323"/>
    <cellStyle name="Обычный 2 3 4 3 2 4 2" xfId="2937"/>
    <cellStyle name="Обычный 2 3 4 3 2 5" xfId="1859"/>
    <cellStyle name="Обычный 2 3 4 3 3" xfId="380"/>
    <cellStyle name="Обычный 2 3 4 3 3 2" xfId="923"/>
    <cellStyle name="Обычный 2 3 4 3 3 2 2" xfId="2537"/>
    <cellStyle name="Обычный 2 3 4 3 3 3" xfId="1459"/>
    <cellStyle name="Обычный 2 3 4 3 3 3 2" xfId="3073"/>
    <cellStyle name="Обычный 2 3 4 3 3 4" xfId="1995"/>
    <cellStyle name="Обычный 2 3 4 3 4" xfId="654"/>
    <cellStyle name="Обычный 2 3 4 3 4 2" xfId="2268"/>
    <cellStyle name="Обычный 2 3 4 3 5" xfId="1191"/>
    <cellStyle name="Обычный 2 3 4 3 5 2" xfId="2805"/>
    <cellStyle name="Обычный 2 3 4 3 6" xfId="1727"/>
    <cellStyle name="Обычный 2 3 4 4" xfId="198"/>
    <cellStyle name="Обычный 2 3 4 4 2" xfId="468"/>
    <cellStyle name="Обычный 2 3 4 4 2 2" xfId="1011"/>
    <cellStyle name="Обычный 2 3 4 4 2 2 2" xfId="2625"/>
    <cellStyle name="Обычный 2 3 4 4 2 3" xfId="1547"/>
    <cellStyle name="Обычный 2 3 4 4 2 3 2" xfId="3161"/>
    <cellStyle name="Обычный 2 3 4 4 2 4" xfId="2083"/>
    <cellStyle name="Обычный 2 3 4 4 3" xfId="743"/>
    <cellStyle name="Обычный 2 3 4 4 3 2" xfId="2357"/>
    <cellStyle name="Обычный 2 3 4 4 4" xfId="1279"/>
    <cellStyle name="Обычный 2 3 4 4 4 2" xfId="2893"/>
    <cellStyle name="Обычный 2 3 4 4 5" xfId="1815"/>
    <cellStyle name="Обычный 2 3 4 5" xfId="336"/>
    <cellStyle name="Обычный 2 3 4 5 2" xfId="879"/>
    <cellStyle name="Обычный 2 3 4 5 2 2" xfId="2493"/>
    <cellStyle name="Обычный 2 3 4 5 3" xfId="1415"/>
    <cellStyle name="Обычный 2 3 4 5 3 2" xfId="3029"/>
    <cellStyle name="Обычный 2 3 4 5 4" xfId="1951"/>
    <cellStyle name="Обычный 2 3 4 6" xfId="609"/>
    <cellStyle name="Обычный 2 3 4 6 2" xfId="2223"/>
    <cellStyle name="Обычный 2 3 4 7" xfId="1147"/>
    <cellStyle name="Обычный 2 3 4 7 2" xfId="2761"/>
    <cellStyle name="Обычный 2 3 4 8" xfId="1683"/>
    <cellStyle name="Обычный 2 3 5" xfId="121"/>
    <cellStyle name="Обычный 2 3 5 2" xfId="262"/>
    <cellStyle name="Обычный 2 3 5 2 2" xfId="531"/>
    <cellStyle name="Обычный 2 3 5 2 2 2" xfId="1074"/>
    <cellStyle name="Обычный 2 3 5 2 2 2 2" xfId="2688"/>
    <cellStyle name="Обычный 2 3 5 2 2 3" xfId="1610"/>
    <cellStyle name="Обычный 2 3 5 2 2 3 2" xfId="3224"/>
    <cellStyle name="Обычный 2 3 5 2 2 4" xfId="2146"/>
    <cellStyle name="Обычный 2 3 5 2 3" xfId="806"/>
    <cellStyle name="Обычный 2 3 5 2 3 2" xfId="2420"/>
    <cellStyle name="Обычный 2 3 5 2 4" xfId="1342"/>
    <cellStyle name="Обычный 2 3 5 2 4 2" xfId="2956"/>
    <cellStyle name="Обычный 2 3 5 2 5" xfId="1878"/>
    <cellStyle name="Обычный 2 3 5 3" xfId="399"/>
    <cellStyle name="Обычный 2 3 5 3 2" xfId="942"/>
    <cellStyle name="Обычный 2 3 5 3 2 2" xfId="2556"/>
    <cellStyle name="Обычный 2 3 5 3 3" xfId="1478"/>
    <cellStyle name="Обычный 2 3 5 3 3 2" xfId="3092"/>
    <cellStyle name="Обычный 2 3 5 3 4" xfId="2014"/>
    <cellStyle name="Обычный 2 3 5 4" xfId="673"/>
    <cellStyle name="Обычный 2 3 5 4 2" xfId="2287"/>
    <cellStyle name="Обычный 2 3 5 5" xfId="1210"/>
    <cellStyle name="Обычный 2 3 5 5 2" xfId="2824"/>
    <cellStyle name="Обычный 2 3 5 6" xfId="1746"/>
    <cellStyle name="Обычный 2 3 6" xfId="73"/>
    <cellStyle name="Обычный 2 3 6 2" xfId="217"/>
    <cellStyle name="Обычный 2 3 6 2 2" xfId="487"/>
    <cellStyle name="Обычный 2 3 6 2 2 2" xfId="1030"/>
    <cellStyle name="Обычный 2 3 6 2 2 2 2" xfId="2644"/>
    <cellStyle name="Обычный 2 3 6 2 2 3" xfId="1566"/>
    <cellStyle name="Обычный 2 3 6 2 2 3 2" xfId="3180"/>
    <cellStyle name="Обычный 2 3 6 2 2 4" xfId="2102"/>
    <cellStyle name="Обычный 2 3 6 2 3" xfId="762"/>
    <cellStyle name="Обычный 2 3 6 2 3 2" xfId="2376"/>
    <cellStyle name="Обычный 2 3 6 2 4" xfId="1298"/>
    <cellStyle name="Обычный 2 3 6 2 4 2" xfId="2912"/>
    <cellStyle name="Обычный 2 3 6 2 5" xfId="1834"/>
    <cellStyle name="Обычный 2 3 6 3" xfId="355"/>
    <cellStyle name="Обычный 2 3 6 3 2" xfId="898"/>
    <cellStyle name="Обычный 2 3 6 3 2 2" xfId="2512"/>
    <cellStyle name="Обычный 2 3 6 3 3" xfId="1434"/>
    <cellStyle name="Обычный 2 3 6 3 3 2" xfId="3048"/>
    <cellStyle name="Обычный 2 3 6 3 4" xfId="1970"/>
    <cellStyle name="Обычный 2 3 6 4" xfId="628"/>
    <cellStyle name="Обычный 2 3 6 4 2" xfId="2242"/>
    <cellStyle name="Обычный 2 3 6 5" xfId="1166"/>
    <cellStyle name="Обычный 2 3 6 5 2" xfId="2780"/>
    <cellStyle name="Обычный 2 3 6 6" xfId="1702"/>
    <cellStyle name="Обычный 2 3 7" xfId="171"/>
    <cellStyle name="Обычный 2 3 7 2" xfId="443"/>
    <cellStyle name="Обычный 2 3 7 2 2" xfId="986"/>
    <cellStyle name="Обычный 2 3 7 2 2 2" xfId="2600"/>
    <cellStyle name="Обычный 2 3 7 2 3" xfId="1522"/>
    <cellStyle name="Обычный 2 3 7 2 3 2" xfId="3136"/>
    <cellStyle name="Обычный 2 3 7 2 4" xfId="2058"/>
    <cellStyle name="Обычный 2 3 7 3" xfId="718"/>
    <cellStyle name="Обычный 2 3 7 3 2" xfId="2332"/>
    <cellStyle name="Обычный 2 3 7 4" xfId="1254"/>
    <cellStyle name="Обычный 2 3 7 4 2" xfId="2868"/>
    <cellStyle name="Обычный 2 3 7 5" xfId="1790"/>
    <cellStyle name="Обычный 2 3 8" xfId="302"/>
    <cellStyle name="Обычный 2 3 8 2" xfId="570"/>
    <cellStyle name="Обычный 2 3 8 2 2" xfId="1113"/>
    <cellStyle name="Обычный 2 3 8 2 2 2" xfId="2727"/>
    <cellStyle name="Обычный 2 3 8 2 3" xfId="1649"/>
    <cellStyle name="Обычный 2 3 8 2 3 2" xfId="3263"/>
    <cellStyle name="Обычный 2 3 8 2 4" xfId="2185"/>
    <cellStyle name="Обычный 2 3 8 3" xfId="845"/>
    <cellStyle name="Обычный 2 3 8 3 2" xfId="2459"/>
    <cellStyle name="Обычный 2 3 8 4" xfId="1381"/>
    <cellStyle name="Обычный 2 3 8 4 2" xfId="2995"/>
    <cellStyle name="Обычный 2 3 8 5" xfId="1917"/>
    <cellStyle name="Обычный 2 3 9" xfId="304"/>
    <cellStyle name="Обычный 2 3 9 2" xfId="572"/>
    <cellStyle name="Обычный 2 3 9 2 2" xfId="1115"/>
    <cellStyle name="Обычный 2 3 9 2 2 2" xfId="2729"/>
    <cellStyle name="Обычный 2 3 9 2 3" xfId="1651"/>
    <cellStyle name="Обычный 2 3 9 2 3 2" xfId="3265"/>
    <cellStyle name="Обычный 2 3 9 2 4" xfId="2187"/>
    <cellStyle name="Обычный 2 3 9 3" xfId="847"/>
    <cellStyle name="Обычный 2 3 9 3 2" xfId="2461"/>
    <cellStyle name="Обычный 2 3 9 4" xfId="1383"/>
    <cellStyle name="Обычный 2 3 9 4 2" xfId="2997"/>
    <cellStyle name="Обычный 2 3 9 5" xfId="1919"/>
    <cellStyle name="Обычный 2 4" xfId="41"/>
    <cellStyle name="Обычный 2 4 2" xfId="59"/>
    <cellStyle name="Обычный 2 4 2 2" xfId="154"/>
    <cellStyle name="Обычный 2 4 2 2 2" xfId="293"/>
    <cellStyle name="Обычный 2 4 2 2 2 2" xfId="561"/>
    <cellStyle name="Обычный 2 4 2 2 2 2 2" xfId="1104"/>
    <cellStyle name="Обычный 2 4 2 2 2 2 2 2" xfId="2718"/>
    <cellStyle name="Обычный 2 4 2 2 2 2 3" xfId="1640"/>
    <cellStyle name="Обычный 2 4 2 2 2 2 3 2" xfId="3254"/>
    <cellStyle name="Обычный 2 4 2 2 2 2 4" xfId="2176"/>
    <cellStyle name="Обычный 2 4 2 2 2 3" xfId="836"/>
    <cellStyle name="Обычный 2 4 2 2 2 3 2" xfId="2450"/>
    <cellStyle name="Обычный 2 4 2 2 2 4" xfId="1372"/>
    <cellStyle name="Обычный 2 4 2 2 2 4 2" xfId="2986"/>
    <cellStyle name="Обычный 2 4 2 2 2 5" xfId="1908"/>
    <cellStyle name="Обычный 2 4 2 2 3" xfId="429"/>
    <cellStyle name="Обычный 2 4 2 2 3 2" xfId="972"/>
    <cellStyle name="Обычный 2 4 2 2 3 2 2" xfId="2586"/>
    <cellStyle name="Обычный 2 4 2 2 3 3" xfId="1508"/>
    <cellStyle name="Обычный 2 4 2 2 3 3 2" xfId="3122"/>
    <cellStyle name="Обычный 2 4 2 2 3 4" xfId="2044"/>
    <cellStyle name="Обычный 2 4 2 2 4" xfId="704"/>
    <cellStyle name="Обычный 2 4 2 2 4 2" xfId="2318"/>
    <cellStyle name="Обычный 2 4 2 2 5" xfId="1240"/>
    <cellStyle name="Обычный 2 4 2 2 5 2" xfId="2854"/>
    <cellStyle name="Обычный 2 4 2 2 6" xfId="1776"/>
    <cellStyle name="Обычный 2 4 2 3" xfId="106"/>
    <cellStyle name="Обычный 2 4 2 3 2" xfId="248"/>
    <cellStyle name="Обычный 2 4 2 3 2 2" xfId="517"/>
    <cellStyle name="Обычный 2 4 2 3 2 2 2" xfId="1060"/>
    <cellStyle name="Обычный 2 4 2 3 2 2 2 2" xfId="2674"/>
    <cellStyle name="Обычный 2 4 2 3 2 2 3" xfId="1596"/>
    <cellStyle name="Обычный 2 4 2 3 2 2 3 2" xfId="3210"/>
    <cellStyle name="Обычный 2 4 2 3 2 2 4" xfId="2132"/>
    <cellStyle name="Обычный 2 4 2 3 2 3" xfId="792"/>
    <cellStyle name="Обычный 2 4 2 3 2 3 2" xfId="2406"/>
    <cellStyle name="Обычный 2 4 2 3 2 4" xfId="1328"/>
    <cellStyle name="Обычный 2 4 2 3 2 4 2" xfId="2942"/>
    <cellStyle name="Обычный 2 4 2 3 2 5" xfId="1864"/>
    <cellStyle name="Обычный 2 4 2 3 3" xfId="385"/>
    <cellStyle name="Обычный 2 4 2 3 3 2" xfId="928"/>
    <cellStyle name="Обычный 2 4 2 3 3 2 2" xfId="2542"/>
    <cellStyle name="Обычный 2 4 2 3 3 3" xfId="1464"/>
    <cellStyle name="Обычный 2 4 2 3 3 3 2" xfId="3078"/>
    <cellStyle name="Обычный 2 4 2 3 3 4" xfId="2000"/>
    <cellStyle name="Обычный 2 4 2 3 4" xfId="659"/>
    <cellStyle name="Обычный 2 4 2 3 4 2" xfId="2273"/>
    <cellStyle name="Обычный 2 4 2 3 5" xfId="1196"/>
    <cellStyle name="Обычный 2 4 2 3 5 2" xfId="2810"/>
    <cellStyle name="Обычный 2 4 2 3 6" xfId="1732"/>
    <cellStyle name="Обычный 2 4 2 4" xfId="203"/>
    <cellStyle name="Обычный 2 4 2 4 2" xfId="473"/>
    <cellStyle name="Обычный 2 4 2 4 2 2" xfId="1016"/>
    <cellStyle name="Обычный 2 4 2 4 2 2 2" xfId="2630"/>
    <cellStyle name="Обычный 2 4 2 4 2 3" xfId="1552"/>
    <cellStyle name="Обычный 2 4 2 4 2 3 2" xfId="3166"/>
    <cellStyle name="Обычный 2 4 2 4 2 4" xfId="2088"/>
    <cellStyle name="Обычный 2 4 2 4 3" xfId="748"/>
    <cellStyle name="Обычный 2 4 2 4 3 2" xfId="2362"/>
    <cellStyle name="Обычный 2 4 2 4 4" xfId="1284"/>
    <cellStyle name="Обычный 2 4 2 4 4 2" xfId="2898"/>
    <cellStyle name="Обычный 2 4 2 4 5" xfId="1820"/>
    <cellStyle name="Обычный 2 4 2 5" xfId="341"/>
    <cellStyle name="Обычный 2 4 2 5 2" xfId="884"/>
    <cellStyle name="Обычный 2 4 2 5 2 2" xfId="2498"/>
    <cellStyle name="Обычный 2 4 2 5 3" xfId="1420"/>
    <cellStyle name="Обычный 2 4 2 5 3 2" xfId="3034"/>
    <cellStyle name="Обычный 2 4 2 5 4" xfId="1956"/>
    <cellStyle name="Обычный 2 4 2 6" xfId="614"/>
    <cellStyle name="Обычный 2 4 2 6 2" xfId="2228"/>
    <cellStyle name="Обычный 2 4 2 7" xfId="1152"/>
    <cellStyle name="Обычный 2 4 2 7 2" xfId="2766"/>
    <cellStyle name="Обычный 2 4 2 8" xfId="1688"/>
    <cellStyle name="Обычный 2 4 3" xfId="136"/>
    <cellStyle name="Обычный 2 4 3 2" xfId="275"/>
    <cellStyle name="Обычный 2 4 3 2 2" xfId="543"/>
    <cellStyle name="Обычный 2 4 3 2 2 2" xfId="1086"/>
    <cellStyle name="Обычный 2 4 3 2 2 2 2" xfId="2700"/>
    <cellStyle name="Обычный 2 4 3 2 2 3" xfId="1622"/>
    <cellStyle name="Обычный 2 4 3 2 2 3 2" xfId="3236"/>
    <cellStyle name="Обычный 2 4 3 2 2 4" xfId="2158"/>
    <cellStyle name="Обычный 2 4 3 2 3" xfId="818"/>
    <cellStyle name="Обычный 2 4 3 2 3 2" xfId="2432"/>
    <cellStyle name="Обычный 2 4 3 2 4" xfId="1354"/>
    <cellStyle name="Обычный 2 4 3 2 4 2" xfId="2968"/>
    <cellStyle name="Обычный 2 4 3 2 5" xfId="1890"/>
    <cellStyle name="Обычный 2 4 3 3" xfId="411"/>
    <cellStyle name="Обычный 2 4 3 3 2" xfId="954"/>
    <cellStyle name="Обычный 2 4 3 3 2 2" xfId="2568"/>
    <cellStyle name="Обычный 2 4 3 3 3" xfId="1490"/>
    <cellStyle name="Обычный 2 4 3 3 3 2" xfId="3104"/>
    <cellStyle name="Обычный 2 4 3 3 4" xfId="2026"/>
    <cellStyle name="Обычный 2 4 3 4" xfId="686"/>
    <cellStyle name="Обычный 2 4 3 4 2" xfId="2300"/>
    <cellStyle name="Обычный 2 4 3 5" xfId="1222"/>
    <cellStyle name="Обычный 2 4 3 5 2" xfId="2836"/>
    <cellStyle name="Обычный 2 4 3 6" xfId="1758"/>
    <cellStyle name="Обычный 2 4 4" xfId="88"/>
    <cellStyle name="Обычный 2 4 4 2" xfId="230"/>
    <cellStyle name="Обычный 2 4 4 2 2" xfId="499"/>
    <cellStyle name="Обычный 2 4 4 2 2 2" xfId="1042"/>
    <cellStyle name="Обычный 2 4 4 2 2 2 2" xfId="2656"/>
    <cellStyle name="Обычный 2 4 4 2 2 3" xfId="1578"/>
    <cellStyle name="Обычный 2 4 4 2 2 3 2" xfId="3192"/>
    <cellStyle name="Обычный 2 4 4 2 2 4" xfId="2114"/>
    <cellStyle name="Обычный 2 4 4 2 3" xfId="774"/>
    <cellStyle name="Обычный 2 4 4 2 3 2" xfId="2388"/>
    <cellStyle name="Обычный 2 4 4 2 4" xfId="1310"/>
    <cellStyle name="Обычный 2 4 4 2 4 2" xfId="2924"/>
    <cellStyle name="Обычный 2 4 4 2 5" xfId="1846"/>
    <cellStyle name="Обычный 2 4 4 3" xfId="367"/>
    <cellStyle name="Обычный 2 4 4 3 2" xfId="910"/>
    <cellStyle name="Обычный 2 4 4 3 2 2" xfId="2524"/>
    <cellStyle name="Обычный 2 4 4 3 3" xfId="1446"/>
    <cellStyle name="Обычный 2 4 4 3 3 2" xfId="3060"/>
    <cellStyle name="Обычный 2 4 4 3 4" xfId="1982"/>
    <cellStyle name="Обычный 2 4 4 4" xfId="641"/>
    <cellStyle name="Обычный 2 4 4 4 2" xfId="2255"/>
    <cellStyle name="Обычный 2 4 4 5" xfId="1178"/>
    <cellStyle name="Обычный 2 4 4 5 2" xfId="2792"/>
    <cellStyle name="Обычный 2 4 4 6" xfId="1714"/>
    <cellStyle name="Обычный 2 4 5" xfId="185"/>
    <cellStyle name="Обычный 2 4 5 2" xfId="455"/>
    <cellStyle name="Обычный 2 4 5 2 2" xfId="998"/>
    <cellStyle name="Обычный 2 4 5 2 2 2" xfId="2612"/>
    <cellStyle name="Обычный 2 4 5 2 3" xfId="1534"/>
    <cellStyle name="Обычный 2 4 5 2 3 2" xfId="3148"/>
    <cellStyle name="Обычный 2 4 5 2 4" xfId="2070"/>
    <cellStyle name="Обычный 2 4 5 3" xfId="730"/>
    <cellStyle name="Обычный 2 4 5 3 2" xfId="2344"/>
    <cellStyle name="Обычный 2 4 5 4" xfId="1266"/>
    <cellStyle name="Обычный 2 4 5 4 2" xfId="2880"/>
    <cellStyle name="Обычный 2 4 5 5" xfId="1802"/>
    <cellStyle name="Обычный 2 4 6" xfId="323"/>
    <cellStyle name="Обычный 2 4 6 2" xfId="866"/>
    <cellStyle name="Обычный 2 4 6 2 2" xfId="2480"/>
    <cellStyle name="Обычный 2 4 6 3" xfId="1402"/>
    <cellStyle name="Обычный 2 4 6 3 2" xfId="3016"/>
    <cellStyle name="Обычный 2 4 6 4" xfId="1938"/>
    <cellStyle name="Обычный 2 4 7" xfId="596"/>
    <cellStyle name="Обычный 2 4 7 2" xfId="2210"/>
    <cellStyle name="Обычный 2 4 8" xfId="1134"/>
    <cellStyle name="Обычный 2 4 8 2" xfId="2748"/>
    <cellStyle name="Обычный 2 4 9" xfId="1670"/>
    <cellStyle name="Обычный 2 5" xfId="30"/>
    <cellStyle name="Обычный 2 5 2" xfId="125"/>
    <cellStyle name="Обычный 2 5 2 2" xfId="266"/>
    <cellStyle name="Обычный 2 5 2 2 2" xfId="535"/>
    <cellStyle name="Обычный 2 5 2 2 2 2" xfId="1078"/>
    <cellStyle name="Обычный 2 5 2 2 2 2 2" xfId="2692"/>
    <cellStyle name="Обычный 2 5 2 2 2 3" xfId="1614"/>
    <cellStyle name="Обычный 2 5 2 2 2 3 2" xfId="3228"/>
    <cellStyle name="Обычный 2 5 2 2 2 4" xfId="2150"/>
    <cellStyle name="Обычный 2 5 2 2 3" xfId="810"/>
    <cellStyle name="Обычный 2 5 2 2 3 2" xfId="2424"/>
    <cellStyle name="Обычный 2 5 2 2 4" xfId="1346"/>
    <cellStyle name="Обычный 2 5 2 2 4 2" xfId="2960"/>
    <cellStyle name="Обычный 2 5 2 2 5" xfId="1882"/>
    <cellStyle name="Обычный 2 5 2 3" xfId="403"/>
    <cellStyle name="Обычный 2 5 2 3 2" xfId="946"/>
    <cellStyle name="Обычный 2 5 2 3 2 2" xfId="2560"/>
    <cellStyle name="Обычный 2 5 2 3 3" xfId="1482"/>
    <cellStyle name="Обычный 2 5 2 3 3 2" xfId="3096"/>
    <cellStyle name="Обычный 2 5 2 3 4" xfId="2018"/>
    <cellStyle name="Обычный 2 5 2 4" xfId="677"/>
    <cellStyle name="Обычный 2 5 2 4 2" xfId="2291"/>
    <cellStyle name="Обычный 2 5 2 5" xfId="1214"/>
    <cellStyle name="Обычный 2 5 2 5 2" xfId="2828"/>
    <cellStyle name="Обычный 2 5 2 6" xfId="1750"/>
    <cellStyle name="Обычный 2 5 3" xfId="77"/>
    <cellStyle name="Обычный 2 5 3 2" xfId="221"/>
    <cellStyle name="Обычный 2 5 3 2 2" xfId="491"/>
    <cellStyle name="Обычный 2 5 3 2 2 2" xfId="1034"/>
    <cellStyle name="Обычный 2 5 3 2 2 2 2" xfId="2648"/>
    <cellStyle name="Обычный 2 5 3 2 2 3" xfId="1570"/>
    <cellStyle name="Обычный 2 5 3 2 2 3 2" xfId="3184"/>
    <cellStyle name="Обычный 2 5 3 2 2 4" xfId="2106"/>
    <cellStyle name="Обычный 2 5 3 2 3" xfId="766"/>
    <cellStyle name="Обычный 2 5 3 2 3 2" xfId="2380"/>
    <cellStyle name="Обычный 2 5 3 2 4" xfId="1302"/>
    <cellStyle name="Обычный 2 5 3 2 4 2" xfId="2916"/>
    <cellStyle name="Обычный 2 5 3 2 5" xfId="1838"/>
    <cellStyle name="Обычный 2 5 3 3" xfId="359"/>
    <cellStyle name="Обычный 2 5 3 3 2" xfId="902"/>
    <cellStyle name="Обычный 2 5 3 3 2 2" xfId="2516"/>
    <cellStyle name="Обычный 2 5 3 3 3" xfId="1438"/>
    <cellStyle name="Обычный 2 5 3 3 3 2" xfId="3052"/>
    <cellStyle name="Обычный 2 5 3 3 4" xfId="1974"/>
    <cellStyle name="Обычный 2 5 3 4" xfId="632"/>
    <cellStyle name="Обычный 2 5 3 4 2" xfId="2246"/>
    <cellStyle name="Обычный 2 5 3 5" xfId="1170"/>
    <cellStyle name="Обычный 2 5 3 5 2" xfId="2784"/>
    <cellStyle name="Обычный 2 5 3 6" xfId="1706"/>
    <cellStyle name="Обычный 2 5 4" xfId="176"/>
    <cellStyle name="Обычный 2 5 4 2" xfId="447"/>
    <cellStyle name="Обычный 2 5 4 2 2" xfId="990"/>
    <cellStyle name="Обычный 2 5 4 2 2 2" xfId="2604"/>
    <cellStyle name="Обычный 2 5 4 2 3" xfId="1526"/>
    <cellStyle name="Обычный 2 5 4 2 3 2" xfId="3140"/>
    <cellStyle name="Обычный 2 5 4 2 4" xfId="2062"/>
    <cellStyle name="Обычный 2 5 4 3" xfId="722"/>
    <cellStyle name="Обычный 2 5 4 3 2" xfId="2336"/>
    <cellStyle name="Обычный 2 5 4 4" xfId="1258"/>
    <cellStyle name="Обычный 2 5 4 4 2" xfId="2872"/>
    <cellStyle name="Обычный 2 5 4 5" xfId="1794"/>
    <cellStyle name="Обычный 2 5 5" xfId="315"/>
    <cellStyle name="Обычный 2 5 5 2" xfId="858"/>
    <cellStyle name="Обычный 2 5 5 2 2" xfId="2472"/>
    <cellStyle name="Обычный 2 5 5 3" xfId="1394"/>
    <cellStyle name="Обычный 2 5 5 3 2" xfId="3008"/>
    <cellStyle name="Обычный 2 5 5 4" xfId="1930"/>
    <cellStyle name="Обычный 2 5 6" xfId="587"/>
    <cellStyle name="Обычный 2 5 6 2" xfId="2201"/>
    <cellStyle name="Обычный 2 5 7" xfId="1126"/>
    <cellStyle name="Обычный 2 5 7 2" xfId="2740"/>
    <cellStyle name="Обычный 2 5 8" xfId="1662"/>
    <cellStyle name="Обычный 2 6" xfId="50"/>
    <cellStyle name="Обычный 2 6 2" xfId="145"/>
    <cellStyle name="Обычный 2 6 2 2" xfId="284"/>
    <cellStyle name="Обычный 2 6 2 2 2" xfId="552"/>
    <cellStyle name="Обычный 2 6 2 2 2 2" xfId="1095"/>
    <cellStyle name="Обычный 2 6 2 2 2 2 2" xfId="2709"/>
    <cellStyle name="Обычный 2 6 2 2 2 3" xfId="1631"/>
    <cellStyle name="Обычный 2 6 2 2 2 3 2" xfId="3245"/>
    <cellStyle name="Обычный 2 6 2 2 2 4" xfId="2167"/>
    <cellStyle name="Обычный 2 6 2 2 3" xfId="827"/>
    <cellStyle name="Обычный 2 6 2 2 3 2" xfId="2441"/>
    <cellStyle name="Обычный 2 6 2 2 4" xfId="1363"/>
    <cellStyle name="Обычный 2 6 2 2 4 2" xfId="2977"/>
    <cellStyle name="Обычный 2 6 2 2 5" xfId="1899"/>
    <cellStyle name="Обычный 2 6 2 3" xfId="420"/>
    <cellStyle name="Обычный 2 6 2 3 2" xfId="963"/>
    <cellStyle name="Обычный 2 6 2 3 2 2" xfId="2577"/>
    <cellStyle name="Обычный 2 6 2 3 3" xfId="1499"/>
    <cellStyle name="Обычный 2 6 2 3 3 2" xfId="3113"/>
    <cellStyle name="Обычный 2 6 2 3 4" xfId="2035"/>
    <cellStyle name="Обычный 2 6 2 4" xfId="695"/>
    <cellStyle name="Обычный 2 6 2 4 2" xfId="2309"/>
    <cellStyle name="Обычный 2 6 2 5" xfId="1231"/>
    <cellStyle name="Обычный 2 6 2 5 2" xfId="2845"/>
    <cellStyle name="Обычный 2 6 2 6" xfId="1767"/>
    <cellStyle name="Обычный 2 6 3" xfId="97"/>
    <cellStyle name="Обычный 2 6 3 2" xfId="239"/>
    <cellStyle name="Обычный 2 6 3 2 2" xfId="508"/>
    <cellStyle name="Обычный 2 6 3 2 2 2" xfId="1051"/>
    <cellStyle name="Обычный 2 6 3 2 2 2 2" xfId="2665"/>
    <cellStyle name="Обычный 2 6 3 2 2 3" xfId="1587"/>
    <cellStyle name="Обычный 2 6 3 2 2 3 2" xfId="3201"/>
    <cellStyle name="Обычный 2 6 3 2 2 4" xfId="2123"/>
    <cellStyle name="Обычный 2 6 3 2 3" xfId="783"/>
    <cellStyle name="Обычный 2 6 3 2 3 2" xfId="2397"/>
    <cellStyle name="Обычный 2 6 3 2 4" xfId="1319"/>
    <cellStyle name="Обычный 2 6 3 2 4 2" xfId="2933"/>
    <cellStyle name="Обычный 2 6 3 2 5" xfId="1855"/>
    <cellStyle name="Обычный 2 6 3 3" xfId="376"/>
    <cellStyle name="Обычный 2 6 3 3 2" xfId="919"/>
    <cellStyle name="Обычный 2 6 3 3 2 2" xfId="2533"/>
    <cellStyle name="Обычный 2 6 3 3 3" xfId="1455"/>
    <cellStyle name="Обычный 2 6 3 3 3 2" xfId="3069"/>
    <cellStyle name="Обычный 2 6 3 3 4" xfId="1991"/>
    <cellStyle name="Обычный 2 6 3 4" xfId="650"/>
    <cellStyle name="Обычный 2 6 3 4 2" xfId="2264"/>
    <cellStyle name="Обычный 2 6 3 5" xfId="1187"/>
    <cellStyle name="Обычный 2 6 3 5 2" xfId="2801"/>
    <cellStyle name="Обычный 2 6 3 6" xfId="1723"/>
    <cellStyle name="Обычный 2 6 4" xfId="194"/>
    <cellStyle name="Обычный 2 6 4 2" xfId="464"/>
    <cellStyle name="Обычный 2 6 4 2 2" xfId="1007"/>
    <cellStyle name="Обычный 2 6 4 2 2 2" xfId="2621"/>
    <cellStyle name="Обычный 2 6 4 2 3" xfId="1543"/>
    <cellStyle name="Обычный 2 6 4 2 3 2" xfId="3157"/>
    <cellStyle name="Обычный 2 6 4 2 4" xfId="2079"/>
    <cellStyle name="Обычный 2 6 4 3" xfId="739"/>
    <cellStyle name="Обычный 2 6 4 3 2" xfId="2353"/>
    <cellStyle name="Обычный 2 6 4 4" xfId="1275"/>
    <cellStyle name="Обычный 2 6 4 4 2" xfId="2889"/>
    <cellStyle name="Обычный 2 6 4 5" xfId="1811"/>
    <cellStyle name="Обычный 2 6 5" xfId="332"/>
    <cellStyle name="Обычный 2 6 5 2" xfId="875"/>
    <cellStyle name="Обычный 2 6 5 2 2" xfId="2489"/>
    <cellStyle name="Обычный 2 6 5 3" xfId="1411"/>
    <cellStyle name="Обычный 2 6 5 3 2" xfId="3025"/>
    <cellStyle name="Обычный 2 6 5 4" xfId="1947"/>
    <cellStyle name="Обычный 2 6 6" xfId="605"/>
    <cellStyle name="Обычный 2 6 6 2" xfId="2219"/>
    <cellStyle name="Обычный 2 6 7" xfId="1143"/>
    <cellStyle name="Обычный 2 6 7 2" xfId="2757"/>
    <cellStyle name="Обычный 2 6 8" xfId="1679"/>
    <cellStyle name="Обычный 2 7" xfId="116"/>
    <cellStyle name="Обычный 2 7 2" xfId="257"/>
    <cellStyle name="Обычный 2 7 2 2" xfId="526"/>
    <cellStyle name="Обычный 2 7 2 2 2" xfId="1069"/>
    <cellStyle name="Обычный 2 7 2 2 2 2" xfId="2683"/>
    <cellStyle name="Обычный 2 7 2 2 3" xfId="1605"/>
    <cellStyle name="Обычный 2 7 2 2 3 2" xfId="3219"/>
    <cellStyle name="Обычный 2 7 2 2 4" xfId="2141"/>
    <cellStyle name="Обычный 2 7 2 3" xfId="801"/>
    <cellStyle name="Обычный 2 7 2 3 2" xfId="2415"/>
    <cellStyle name="Обычный 2 7 2 4" xfId="1337"/>
    <cellStyle name="Обычный 2 7 2 4 2" xfId="2951"/>
    <cellStyle name="Обычный 2 7 2 5" xfId="1873"/>
    <cellStyle name="Обычный 2 7 3" xfId="394"/>
    <cellStyle name="Обычный 2 7 3 2" xfId="937"/>
    <cellStyle name="Обычный 2 7 3 2 2" xfId="2551"/>
    <cellStyle name="Обычный 2 7 3 3" xfId="1473"/>
    <cellStyle name="Обычный 2 7 3 3 2" xfId="3087"/>
    <cellStyle name="Обычный 2 7 3 4" xfId="2009"/>
    <cellStyle name="Обычный 2 7 4" xfId="668"/>
    <cellStyle name="Обычный 2 7 4 2" xfId="2282"/>
    <cellStyle name="Обычный 2 7 5" xfId="1205"/>
    <cellStyle name="Обычный 2 7 5 2" xfId="2819"/>
    <cellStyle name="Обычный 2 7 6" xfId="1741"/>
    <cellStyle name="Обычный 2 8" xfId="68"/>
    <cellStyle name="Обычный 2 8 2" xfId="212"/>
    <cellStyle name="Обычный 2 8 2 2" xfId="482"/>
    <cellStyle name="Обычный 2 8 2 2 2" xfId="1025"/>
    <cellStyle name="Обычный 2 8 2 2 2 2" xfId="2639"/>
    <cellStyle name="Обычный 2 8 2 2 3" xfId="1561"/>
    <cellStyle name="Обычный 2 8 2 2 3 2" xfId="3175"/>
    <cellStyle name="Обычный 2 8 2 2 4" xfId="2097"/>
    <cellStyle name="Обычный 2 8 2 3" xfId="757"/>
    <cellStyle name="Обычный 2 8 2 3 2" xfId="2371"/>
    <cellStyle name="Обычный 2 8 2 4" xfId="1293"/>
    <cellStyle name="Обычный 2 8 2 4 2" xfId="2907"/>
    <cellStyle name="Обычный 2 8 2 5" xfId="1829"/>
    <cellStyle name="Обычный 2 8 3" xfId="350"/>
    <cellStyle name="Обычный 2 8 3 2" xfId="893"/>
    <cellStyle name="Обычный 2 8 3 2 2" xfId="2507"/>
    <cellStyle name="Обычный 2 8 3 3" xfId="1429"/>
    <cellStyle name="Обычный 2 8 3 3 2" xfId="3043"/>
    <cellStyle name="Обычный 2 8 3 4" xfId="1965"/>
    <cellStyle name="Обычный 2 8 4" xfId="623"/>
    <cellStyle name="Обычный 2 8 4 2" xfId="2237"/>
    <cellStyle name="Обычный 2 8 5" xfId="1161"/>
    <cellStyle name="Обычный 2 8 5 2" xfId="2775"/>
    <cellStyle name="Обычный 2 8 6" xfId="1697"/>
    <cellStyle name="Обычный 2 9" xfId="164"/>
    <cellStyle name="Обычный 2 9 2" xfId="438"/>
    <cellStyle name="Обычный 2 9 2 2" xfId="981"/>
    <cellStyle name="Обычный 2 9 2 2 2" xfId="2595"/>
    <cellStyle name="Обычный 2 9 2 3" xfId="1517"/>
    <cellStyle name="Обычный 2 9 2 3 2" xfId="3131"/>
    <cellStyle name="Обычный 2 9 2 4" xfId="2053"/>
    <cellStyle name="Обычный 2 9 3" xfId="713"/>
    <cellStyle name="Обычный 2 9 3 2" xfId="2327"/>
    <cellStyle name="Обычный 2 9 4" xfId="1249"/>
    <cellStyle name="Обычный 2 9 4 2" xfId="2863"/>
    <cellStyle name="Обычный 2 9 5" xfId="1785"/>
    <cellStyle name="Обычный 3" xfId="17"/>
    <cellStyle name="Обычный 3 2" xfId="27"/>
    <cellStyle name="Обычный 3 3" xfId="34"/>
    <cellStyle name="Обычный 3 3 2" xfId="129"/>
    <cellStyle name="Обычный 3 3 3" xfId="81"/>
    <cellStyle name="Обычный 4" xfId="4"/>
    <cellStyle name="Обычный 4 2" xfId="5"/>
    <cellStyle name="Обычный 4 3" xfId="18"/>
    <cellStyle name="Обычный 5" xfId="12"/>
    <cellStyle name="Обычный 5 10" xfId="577"/>
    <cellStyle name="Обычный 5 10 2" xfId="2191"/>
    <cellStyle name="Обычный 5 11" xfId="1119"/>
    <cellStyle name="Обычный 5 11 2" xfId="2733"/>
    <cellStyle name="Обычный 5 12" xfId="1655"/>
    <cellStyle name="Обычный 5 2" xfId="25"/>
    <cellStyle name="Обычный 5 2 10" xfId="1124"/>
    <cellStyle name="Обычный 5 2 10 2" xfId="2738"/>
    <cellStyle name="Обычный 5 2 11" xfId="1660"/>
    <cellStyle name="Обычный 5 2 2" xfId="48"/>
    <cellStyle name="Обычный 5 2 2 2" xfId="66"/>
    <cellStyle name="Обычный 5 2 2 2 2" xfId="161"/>
    <cellStyle name="Обычный 5 2 2 2 2 2" xfId="300"/>
    <cellStyle name="Обычный 5 2 2 2 2 2 2" xfId="568"/>
    <cellStyle name="Обычный 5 2 2 2 2 2 2 2" xfId="1111"/>
    <cellStyle name="Обычный 5 2 2 2 2 2 2 2 2" xfId="2725"/>
    <cellStyle name="Обычный 5 2 2 2 2 2 2 3" xfId="1647"/>
    <cellStyle name="Обычный 5 2 2 2 2 2 2 3 2" xfId="3261"/>
    <cellStyle name="Обычный 5 2 2 2 2 2 2 4" xfId="2183"/>
    <cellStyle name="Обычный 5 2 2 2 2 2 3" xfId="843"/>
    <cellStyle name="Обычный 5 2 2 2 2 2 3 2" xfId="2457"/>
    <cellStyle name="Обычный 5 2 2 2 2 2 4" xfId="1379"/>
    <cellStyle name="Обычный 5 2 2 2 2 2 4 2" xfId="2993"/>
    <cellStyle name="Обычный 5 2 2 2 2 2 5" xfId="1915"/>
    <cellStyle name="Обычный 5 2 2 2 2 3" xfId="436"/>
    <cellStyle name="Обычный 5 2 2 2 2 3 2" xfId="979"/>
    <cellStyle name="Обычный 5 2 2 2 2 3 2 2" xfId="2593"/>
    <cellStyle name="Обычный 5 2 2 2 2 3 3" xfId="1515"/>
    <cellStyle name="Обычный 5 2 2 2 2 3 3 2" xfId="3129"/>
    <cellStyle name="Обычный 5 2 2 2 2 3 4" xfId="2051"/>
    <cellStyle name="Обычный 5 2 2 2 2 4" xfId="711"/>
    <cellStyle name="Обычный 5 2 2 2 2 4 2" xfId="2325"/>
    <cellStyle name="Обычный 5 2 2 2 2 5" xfId="1247"/>
    <cellStyle name="Обычный 5 2 2 2 2 5 2" xfId="2861"/>
    <cellStyle name="Обычный 5 2 2 2 2 6" xfId="1783"/>
    <cellStyle name="Обычный 5 2 2 2 3" xfId="113"/>
    <cellStyle name="Обычный 5 2 2 2 3 2" xfId="255"/>
    <cellStyle name="Обычный 5 2 2 2 3 2 2" xfId="524"/>
    <cellStyle name="Обычный 5 2 2 2 3 2 2 2" xfId="1067"/>
    <cellStyle name="Обычный 5 2 2 2 3 2 2 2 2" xfId="2681"/>
    <cellStyle name="Обычный 5 2 2 2 3 2 2 3" xfId="1603"/>
    <cellStyle name="Обычный 5 2 2 2 3 2 2 3 2" xfId="3217"/>
    <cellStyle name="Обычный 5 2 2 2 3 2 2 4" xfId="2139"/>
    <cellStyle name="Обычный 5 2 2 2 3 2 3" xfId="799"/>
    <cellStyle name="Обычный 5 2 2 2 3 2 3 2" xfId="2413"/>
    <cellStyle name="Обычный 5 2 2 2 3 2 4" xfId="1335"/>
    <cellStyle name="Обычный 5 2 2 2 3 2 4 2" xfId="2949"/>
    <cellStyle name="Обычный 5 2 2 2 3 2 5" xfId="1871"/>
    <cellStyle name="Обычный 5 2 2 2 3 3" xfId="392"/>
    <cellStyle name="Обычный 5 2 2 2 3 3 2" xfId="935"/>
    <cellStyle name="Обычный 5 2 2 2 3 3 2 2" xfId="2549"/>
    <cellStyle name="Обычный 5 2 2 2 3 3 3" xfId="1471"/>
    <cellStyle name="Обычный 5 2 2 2 3 3 3 2" xfId="3085"/>
    <cellStyle name="Обычный 5 2 2 2 3 3 4" xfId="2007"/>
    <cellStyle name="Обычный 5 2 2 2 3 4" xfId="666"/>
    <cellStyle name="Обычный 5 2 2 2 3 4 2" xfId="2280"/>
    <cellStyle name="Обычный 5 2 2 2 3 5" xfId="1203"/>
    <cellStyle name="Обычный 5 2 2 2 3 5 2" xfId="2817"/>
    <cellStyle name="Обычный 5 2 2 2 3 6" xfId="1739"/>
    <cellStyle name="Обычный 5 2 2 2 4" xfId="210"/>
    <cellStyle name="Обычный 5 2 2 2 4 2" xfId="480"/>
    <cellStyle name="Обычный 5 2 2 2 4 2 2" xfId="1023"/>
    <cellStyle name="Обычный 5 2 2 2 4 2 2 2" xfId="2637"/>
    <cellStyle name="Обычный 5 2 2 2 4 2 3" xfId="1559"/>
    <cellStyle name="Обычный 5 2 2 2 4 2 3 2" xfId="3173"/>
    <cellStyle name="Обычный 5 2 2 2 4 2 4" xfId="2095"/>
    <cellStyle name="Обычный 5 2 2 2 4 3" xfId="755"/>
    <cellStyle name="Обычный 5 2 2 2 4 3 2" xfId="2369"/>
    <cellStyle name="Обычный 5 2 2 2 4 4" xfId="1291"/>
    <cellStyle name="Обычный 5 2 2 2 4 4 2" xfId="2905"/>
    <cellStyle name="Обычный 5 2 2 2 4 5" xfId="1827"/>
    <cellStyle name="Обычный 5 2 2 2 5" xfId="348"/>
    <cellStyle name="Обычный 5 2 2 2 5 2" xfId="891"/>
    <cellStyle name="Обычный 5 2 2 2 5 2 2" xfId="2505"/>
    <cellStyle name="Обычный 5 2 2 2 5 3" xfId="1427"/>
    <cellStyle name="Обычный 5 2 2 2 5 3 2" xfId="3041"/>
    <cellStyle name="Обычный 5 2 2 2 5 4" xfId="1963"/>
    <cellStyle name="Обычный 5 2 2 2 6" xfId="621"/>
    <cellStyle name="Обычный 5 2 2 2 6 2" xfId="2235"/>
    <cellStyle name="Обычный 5 2 2 2 7" xfId="1159"/>
    <cellStyle name="Обычный 5 2 2 2 7 2" xfId="2773"/>
    <cellStyle name="Обычный 5 2 2 2 8" xfId="1695"/>
    <cellStyle name="Обычный 5 2 2 3" xfId="143"/>
    <cellStyle name="Обычный 5 2 2 3 2" xfId="282"/>
    <cellStyle name="Обычный 5 2 2 3 2 2" xfId="550"/>
    <cellStyle name="Обычный 5 2 2 3 2 2 2" xfId="1093"/>
    <cellStyle name="Обычный 5 2 2 3 2 2 2 2" xfId="2707"/>
    <cellStyle name="Обычный 5 2 2 3 2 2 3" xfId="1629"/>
    <cellStyle name="Обычный 5 2 2 3 2 2 3 2" xfId="3243"/>
    <cellStyle name="Обычный 5 2 2 3 2 2 4" xfId="2165"/>
    <cellStyle name="Обычный 5 2 2 3 2 3" xfId="825"/>
    <cellStyle name="Обычный 5 2 2 3 2 3 2" xfId="2439"/>
    <cellStyle name="Обычный 5 2 2 3 2 4" xfId="1361"/>
    <cellStyle name="Обычный 5 2 2 3 2 4 2" xfId="2975"/>
    <cellStyle name="Обычный 5 2 2 3 2 5" xfId="1897"/>
    <cellStyle name="Обычный 5 2 2 3 3" xfId="418"/>
    <cellStyle name="Обычный 5 2 2 3 3 2" xfId="961"/>
    <cellStyle name="Обычный 5 2 2 3 3 2 2" xfId="2575"/>
    <cellStyle name="Обычный 5 2 2 3 3 3" xfId="1497"/>
    <cellStyle name="Обычный 5 2 2 3 3 3 2" xfId="3111"/>
    <cellStyle name="Обычный 5 2 2 3 3 4" xfId="2033"/>
    <cellStyle name="Обычный 5 2 2 3 4" xfId="693"/>
    <cellStyle name="Обычный 5 2 2 3 4 2" xfId="2307"/>
    <cellStyle name="Обычный 5 2 2 3 5" xfId="1229"/>
    <cellStyle name="Обычный 5 2 2 3 5 2" xfId="2843"/>
    <cellStyle name="Обычный 5 2 2 3 6" xfId="1765"/>
    <cellStyle name="Обычный 5 2 2 4" xfId="95"/>
    <cellStyle name="Обычный 5 2 2 4 2" xfId="237"/>
    <cellStyle name="Обычный 5 2 2 4 2 2" xfId="506"/>
    <cellStyle name="Обычный 5 2 2 4 2 2 2" xfId="1049"/>
    <cellStyle name="Обычный 5 2 2 4 2 2 2 2" xfId="2663"/>
    <cellStyle name="Обычный 5 2 2 4 2 2 3" xfId="1585"/>
    <cellStyle name="Обычный 5 2 2 4 2 2 3 2" xfId="3199"/>
    <cellStyle name="Обычный 5 2 2 4 2 2 4" xfId="2121"/>
    <cellStyle name="Обычный 5 2 2 4 2 3" xfId="781"/>
    <cellStyle name="Обычный 5 2 2 4 2 3 2" xfId="2395"/>
    <cellStyle name="Обычный 5 2 2 4 2 4" xfId="1317"/>
    <cellStyle name="Обычный 5 2 2 4 2 4 2" xfId="2931"/>
    <cellStyle name="Обычный 5 2 2 4 2 5" xfId="1853"/>
    <cellStyle name="Обычный 5 2 2 4 3" xfId="374"/>
    <cellStyle name="Обычный 5 2 2 4 3 2" xfId="917"/>
    <cellStyle name="Обычный 5 2 2 4 3 2 2" xfId="2531"/>
    <cellStyle name="Обычный 5 2 2 4 3 3" xfId="1453"/>
    <cellStyle name="Обычный 5 2 2 4 3 3 2" xfId="3067"/>
    <cellStyle name="Обычный 5 2 2 4 3 4" xfId="1989"/>
    <cellStyle name="Обычный 5 2 2 4 4" xfId="648"/>
    <cellStyle name="Обычный 5 2 2 4 4 2" xfId="2262"/>
    <cellStyle name="Обычный 5 2 2 4 5" xfId="1185"/>
    <cellStyle name="Обычный 5 2 2 4 5 2" xfId="2799"/>
    <cellStyle name="Обычный 5 2 2 4 6" xfId="1721"/>
    <cellStyle name="Обычный 5 2 2 5" xfId="192"/>
    <cellStyle name="Обычный 5 2 2 5 2" xfId="462"/>
    <cellStyle name="Обычный 5 2 2 5 2 2" xfId="1005"/>
    <cellStyle name="Обычный 5 2 2 5 2 2 2" xfId="2619"/>
    <cellStyle name="Обычный 5 2 2 5 2 3" xfId="1541"/>
    <cellStyle name="Обычный 5 2 2 5 2 3 2" xfId="3155"/>
    <cellStyle name="Обычный 5 2 2 5 2 4" xfId="2077"/>
    <cellStyle name="Обычный 5 2 2 5 3" xfId="737"/>
    <cellStyle name="Обычный 5 2 2 5 3 2" xfId="2351"/>
    <cellStyle name="Обычный 5 2 2 5 4" xfId="1273"/>
    <cellStyle name="Обычный 5 2 2 5 4 2" xfId="2887"/>
    <cellStyle name="Обычный 5 2 2 5 5" xfId="1809"/>
    <cellStyle name="Обычный 5 2 2 6" xfId="330"/>
    <cellStyle name="Обычный 5 2 2 6 2" xfId="873"/>
    <cellStyle name="Обычный 5 2 2 6 2 2" xfId="2487"/>
    <cellStyle name="Обычный 5 2 2 6 3" xfId="1409"/>
    <cellStyle name="Обычный 5 2 2 6 3 2" xfId="3023"/>
    <cellStyle name="Обычный 5 2 2 6 4" xfId="1945"/>
    <cellStyle name="Обычный 5 2 2 7" xfId="603"/>
    <cellStyle name="Обычный 5 2 2 7 2" xfId="2217"/>
    <cellStyle name="Обычный 5 2 2 8" xfId="1141"/>
    <cellStyle name="Обычный 5 2 2 8 2" xfId="2755"/>
    <cellStyle name="Обычный 5 2 2 9" xfId="1677"/>
    <cellStyle name="Обычный 5 2 3" xfId="39"/>
    <cellStyle name="Обычный 5 2 3 2" xfId="134"/>
    <cellStyle name="Обычный 5 2 3 2 2" xfId="273"/>
    <cellStyle name="Обычный 5 2 3 2 2 2" xfId="541"/>
    <cellStyle name="Обычный 5 2 3 2 2 2 2" xfId="1084"/>
    <cellStyle name="Обычный 5 2 3 2 2 2 2 2" xfId="2698"/>
    <cellStyle name="Обычный 5 2 3 2 2 2 3" xfId="1620"/>
    <cellStyle name="Обычный 5 2 3 2 2 2 3 2" xfId="3234"/>
    <cellStyle name="Обычный 5 2 3 2 2 2 4" xfId="2156"/>
    <cellStyle name="Обычный 5 2 3 2 2 3" xfId="816"/>
    <cellStyle name="Обычный 5 2 3 2 2 3 2" xfId="2430"/>
    <cellStyle name="Обычный 5 2 3 2 2 4" xfId="1352"/>
    <cellStyle name="Обычный 5 2 3 2 2 4 2" xfId="2966"/>
    <cellStyle name="Обычный 5 2 3 2 2 5" xfId="1888"/>
    <cellStyle name="Обычный 5 2 3 2 3" xfId="409"/>
    <cellStyle name="Обычный 5 2 3 2 3 2" xfId="952"/>
    <cellStyle name="Обычный 5 2 3 2 3 2 2" xfId="2566"/>
    <cellStyle name="Обычный 5 2 3 2 3 3" xfId="1488"/>
    <cellStyle name="Обычный 5 2 3 2 3 3 2" xfId="3102"/>
    <cellStyle name="Обычный 5 2 3 2 3 4" xfId="2024"/>
    <cellStyle name="Обычный 5 2 3 2 4" xfId="684"/>
    <cellStyle name="Обычный 5 2 3 2 4 2" xfId="2298"/>
    <cellStyle name="Обычный 5 2 3 2 5" xfId="1220"/>
    <cellStyle name="Обычный 5 2 3 2 5 2" xfId="2834"/>
    <cellStyle name="Обычный 5 2 3 2 6" xfId="1756"/>
    <cellStyle name="Обычный 5 2 3 3" xfId="86"/>
    <cellStyle name="Обычный 5 2 3 3 2" xfId="228"/>
    <cellStyle name="Обычный 5 2 3 3 2 2" xfId="497"/>
    <cellStyle name="Обычный 5 2 3 3 2 2 2" xfId="1040"/>
    <cellStyle name="Обычный 5 2 3 3 2 2 2 2" xfId="2654"/>
    <cellStyle name="Обычный 5 2 3 3 2 2 3" xfId="1576"/>
    <cellStyle name="Обычный 5 2 3 3 2 2 3 2" xfId="3190"/>
    <cellStyle name="Обычный 5 2 3 3 2 2 4" xfId="2112"/>
    <cellStyle name="Обычный 5 2 3 3 2 3" xfId="772"/>
    <cellStyle name="Обычный 5 2 3 3 2 3 2" xfId="2386"/>
    <cellStyle name="Обычный 5 2 3 3 2 4" xfId="1308"/>
    <cellStyle name="Обычный 5 2 3 3 2 4 2" xfId="2922"/>
    <cellStyle name="Обычный 5 2 3 3 2 5" xfId="1844"/>
    <cellStyle name="Обычный 5 2 3 3 3" xfId="365"/>
    <cellStyle name="Обычный 5 2 3 3 3 2" xfId="908"/>
    <cellStyle name="Обычный 5 2 3 3 3 2 2" xfId="2522"/>
    <cellStyle name="Обычный 5 2 3 3 3 3" xfId="1444"/>
    <cellStyle name="Обычный 5 2 3 3 3 3 2" xfId="3058"/>
    <cellStyle name="Обычный 5 2 3 3 3 4" xfId="1980"/>
    <cellStyle name="Обычный 5 2 3 3 4" xfId="639"/>
    <cellStyle name="Обычный 5 2 3 3 4 2" xfId="2253"/>
    <cellStyle name="Обычный 5 2 3 3 5" xfId="1176"/>
    <cellStyle name="Обычный 5 2 3 3 5 2" xfId="2790"/>
    <cellStyle name="Обычный 5 2 3 3 6" xfId="1712"/>
    <cellStyle name="Обычный 5 2 3 4" xfId="183"/>
    <cellStyle name="Обычный 5 2 3 4 2" xfId="453"/>
    <cellStyle name="Обычный 5 2 3 4 2 2" xfId="996"/>
    <cellStyle name="Обычный 5 2 3 4 2 2 2" xfId="2610"/>
    <cellStyle name="Обычный 5 2 3 4 2 3" xfId="1532"/>
    <cellStyle name="Обычный 5 2 3 4 2 3 2" xfId="3146"/>
    <cellStyle name="Обычный 5 2 3 4 2 4" xfId="2068"/>
    <cellStyle name="Обычный 5 2 3 4 3" xfId="728"/>
    <cellStyle name="Обычный 5 2 3 4 3 2" xfId="2342"/>
    <cellStyle name="Обычный 5 2 3 4 4" xfId="1264"/>
    <cellStyle name="Обычный 5 2 3 4 4 2" xfId="2878"/>
    <cellStyle name="Обычный 5 2 3 4 5" xfId="1800"/>
    <cellStyle name="Обычный 5 2 3 5" xfId="321"/>
    <cellStyle name="Обычный 5 2 3 5 2" xfId="864"/>
    <cellStyle name="Обычный 5 2 3 5 2 2" xfId="2478"/>
    <cellStyle name="Обычный 5 2 3 5 3" xfId="1400"/>
    <cellStyle name="Обычный 5 2 3 5 3 2" xfId="3014"/>
    <cellStyle name="Обычный 5 2 3 5 4" xfId="1936"/>
    <cellStyle name="Обычный 5 2 3 6" xfId="594"/>
    <cellStyle name="Обычный 5 2 3 6 2" xfId="2208"/>
    <cellStyle name="Обычный 5 2 3 7" xfId="1132"/>
    <cellStyle name="Обычный 5 2 3 7 2" xfId="2746"/>
    <cellStyle name="Обычный 5 2 3 8" xfId="1668"/>
    <cellStyle name="Обычный 5 2 4" xfId="56"/>
    <cellStyle name="Обычный 5 2 4 2" xfId="151"/>
    <cellStyle name="Обычный 5 2 4 2 2" xfId="290"/>
    <cellStyle name="Обычный 5 2 4 2 2 2" xfId="558"/>
    <cellStyle name="Обычный 5 2 4 2 2 2 2" xfId="1101"/>
    <cellStyle name="Обычный 5 2 4 2 2 2 2 2" xfId="2715"/>
    <cellStyle name="Обычный 5 2 4 2 2 2 3" xfId="1637"/>
    <cellStyle name="Обычный 5 2 4 2 2 2 3 2" xfId="3251"/>
    <cellStyle name="Обычный 5 2 4 2 2 2 4" xfId="2173"/>
    <cellStyle name="Обычный 5 2 4 2 2 3" xfId="833"/>
    <cellStyle name="Обычный 5 2 4 2 2 3 2" xfId="2447"/>
    <cellStyle name="Обычный 5 2 4 2 2 4" xfId="1369"/>
    <cellStyle name="Обычный 5 2 4 2 2 4 2" xfId="2983"/>
    <cellStyle name="Обычный 5 2 4 2 2 5" xfId="1905"/>
    <cellStyle name="Обычный 5 2 4 2 3" xfId="426"/>
    <cellStyle name="Обычный 5 2 4 2 3 2" xfId="969"/>
    <cellStyle name="Обычный 5 2 4 2 3 2 2" xfId="2583"/>
    <cellStyle name="Обычный 5 2 4 2 3 3" xfId="1505"/>
    <cellStyle name="Обычный 5 2 4 2 3 3 2" xfId="3119"/>
    <cellStyle name="Обычный 5 2 4 2 3 4" xfId="2041"/>
    <cellStyle name="Обычный 5 2 4 2 4" xfId="701"/>
    <cellStyle name="Обычный 5 2 4 2 4 2" xfId="2315"/>
    <cellStyle name="Обычный 5 2 4 2 5" xfId="1237"/>
    <cellStyle name="Обычный 5 2 4 2 5 2" xfId="2851"/>
    <cellStyle name="Обычный 5 2 4 2 6" xfId="1773"/>
    <cellStyle name="Обычный 5 2 4 3" xfId="103"/>
    <cellStyle name="Обычный 5 2 4 3 2" xfId="245"/>
    <cellStyle name="Обычный 5 2 4 3 2 2" xfId="514"/>
    <cellStyle name="Обычный 5 2 4 3 2 2 2" xfId="1057"/>
    <cellStyle name="Обычный 5 2 4 3 2 2 2 2" xfId="2671"/>
    <cellStyle name="Обычный 5 2 4 3 2 2 3" xfId="1593"/>
    <cellStyle name="Обычный 5 2 4 3 2 2 3 2" xfId="3207"/>
    <cellStyle name="Обычный 5 2 4 3 2 2 4" xfId="2129"/>
    <cellStyle name="Обычный 5 2 4 3 2 3" xfId="789"/>
    <cellStyle name="Обычный 5 2 4 3 2 3 2" xfId="2403"/>
    <cellStyle name="Обычный 5 2 4 3 2 4" xfId="1325"/>
    <cellStyle name="Обычный 5 2 4 3 2 4 2" xfId="2939"/>
    <cellStyle name="Обычный 5 2 4 3 2 5" xfId="1861"/>
    <cellStyle name="Обычный 5 2 4 3 3" xfId="382"/>
    <cellStyle name="Обычный 5 2 4 3 3 2" xfId="925"/>
    <cellStyle name="Обычный 5 2 4 3 3 2 2" xfId="2539"/>
    <cellStyle name="Обычный 5 2 4 3 3 3" xfId="1461"/>
    <cellStyle name="Обычный 5 2 4 3 3 3 2" xfId="3075"/>
    <cellStyle name="Обычный 5 2 4 3 3 4" xfId="1997"/>
    <cellStyle name="Обычный 5 2 4 3 4" xfId="656"/>
    <cellStyle name="Обычный 5 2 4 3 4 2" xfId="2270"/>
    <cellStyle name="Обычный 5 2 4 3 5" xfId="1193"/>
    <cellStyle name="Обычный 5 2 4 3 5 2" xfId="2807"/>
    <cellStyle name="Обычный 5 2 4 3 6" xfId="1729"/>
    <cellStyle name="Обычный 5 2 4 4" xfId="200"/>
    <cellStyle name="Обычный 5 2 4 4 2" xfId="470"/>
    <cellStyle name="Обычный 5 2 4 4 2 2" xfId="1013"/>
    <cellStyle name="Обычный 5 2 4 4 2 2 2" xfId="2627"/>
    <cellStyle name="Обычный 5 2 4 4 2 3" xfId="1549"/>
    <cellStyle name="Обычный 5 2 4 4 2 3 2" xfId="3163"/>
    <cellStyle name="Обычный 5 2 4 4 2 4" xfId="2085"/>
    <cellStyle name="Обычный 5 2 4 4 3" xfId="745"/>
    <cellStyle name="Обычный 5 2 4 4 3 2" xfId="2359"/>
    <cellStyle name="Обычный 5 2 4 4 4" xfId="1281"/>
    <cellStyle name="Обычный 5 2 4 4 4 2" xfId="2895"/>
    <cellStyle name="Обычный 5 2 4 4 5" xfId="1817"/>
    <cellStyle name="Обычный 5 2 4 5" xfId="338"/>
    <cellStyle name="Обычный 5 2 4 5 2" xfId="881"/>
    <cellStyle name="Обычный 5 2 4 5 2 2" xfId="2495"/>
    <cellStyle name="Обычный 5 2 4 5 3" xfId="1417"/>
    <cellStyle name="Обычный 5 2 4 5 3 2" xfId="3031"/>
    <cellStyle name="Обычный 5 2 4 5 4" xfId="1953"/>
    <cellStyle name="Обычный 5 2 4 6" xfId="611"/>
    <cellStyle name="Обычный 5 2 4 6 2" xfId="2225"/>
    <cellStyle name="Обычный 5 2 4 7" xfId="1149"/>
    <cellStyle name="Обычный 5 2 4 7 2" xfId="2763"/>
    <cellStyle name="Обычный 5 2 4 8" xfId="1685"/>
    <cellStyle name="Обычный 5 2 5" xfId="123"/>
    <cellStyle name="Обычный 5 2 5 2" xfId="264"/>
    <cellStyle name="Обычный 5 2 5 2 2" xfId="533"/>
    <cellStyle name="Обычный 5 2 5 2 2 2" xfId="1076"/>
    <cellStyle name="Обычный 5 2 5 2 2 2 2" xfId="2690"/>
    <cellStyle name="Обычный 5 2 5 2 2 3" xfId="1612"/>
    <cellStyle name="Обычный 5 2 5 2 2 3 2" xfId="3226"/>
    <cellStyle name="Обычный 5 2 5 2 2 4" xfId="2148"/>
    <cellStyle name="Обычный 5 2 5 2 3" xfId="808"/>
    <cellStyle name="Обычный 5 2 5 2 3 2" xfId="2422"/>
    <cellStyle name="Обычный 5 2 5 2 4" xfId="1344"/>
    <cellStyle name="Обычный 5 2 5 2 4 2" xfId="2958"/>
    <cellStyle name="Обычный 5 2 5 2 5" xfId="1880"/>
    <cellStyle name="Обычный 5 2 5 3" xfId="401"/>
    <cellStyle name="Обычный 5 2 5 3 2" xfId="944"/>
    <cellStyle name="Обычный 5 2 5 3 2 2" xfId="2558"/>
    <cellStyle name="Обычный 5 2 5 3 3" xfId="1480"/>
    <cellStyle name="Обычный 5 2 5 3 3 2" xfId="3094"/>
    <cellStyle name="Обычный 5 2 5 3 4" xfId="2016"/>
    <cellStyle name="Обычный 5 2 5 4" xfId="675"/>
    <cellStyle name="Обычный 5 2 5 4 2" xfId="2289"/>
    <cellStyle name="Обычный 5 2 5 5" xfId="1212"/>
    <cellStyle name="Обычный 5 2 5 5 2" xfId="2826"/>
    <cellStyle name="Обычный 5 2 5 6" xfId="1748"/>
    <cellStyle name="Обычный 5 2 6" xfId="75"/>
    <cellStyle name="Обычный 5 2 6 2" xfId="219"/>
    <cellStyle name="Обычный 5 2 6 2 2" xfId="489"/>
    <cellStyle name="Обычный 5 2 6 2 2 2" xfId="1032"/>
    <cellStyle name="Обычный 5 2 6 2 2 2 2" xfId="2646"/>
    <cellStyle name="Обычный 5 2 6 2 2 3" xfId="1568"/>
    <cellStyle name="Обычный 5 2 6 2 2 3 2" xfId="3182"/>
    <cellStyle name="Обычный 5 2 6 2 2 4" xfId="2104"/>
    <cellStyle name="Обычный 5 2 6 2 3" xfId="764"/>
    <cellStyle name="Обычный 5 2 6 2 3 2" xfId="2378"/>
    <cellStyle name="Обычный 5 2 6 2 4" xfId="1300"/>
    <cellStyle name="Обычный 5 2 6 2 4 2" xfId="2914"/>
    <cellStyle name="Обычный 5 2 6 2 5" xfId="1836"/>
    <cellStyle name="Обычный 5 2 6 3" xfId="357"/>
    <cellStyle name="Обычный 5 2 6 3 2" xfId="900"/>
    <cellStyle name="Обычный 5 2 6 3 2 2" xfId="2514"/>
    <cellStyle name="Обычный 5 2 6 3 3" xfId="1436"/>
    <cellStyle name="Обычный 5 2 6 3 3 2" xfId="3050"/>
    <cellStyle name="Обычный 5 2 6 3 4" xfId="1972"/>
    <cellStyle name="Обычный 5 2 6 4" xfId="630"/>
    <cellStyle name="Обычный 5 2 6 4 2" xfId="2244"/>
    <cellStyle name="Обычный 5 2 6 5" xfId="1168"/>
    <cellStyle name="Обычный 5 2 6 5 2" xfId="2782"/>
    <cellStyle name="Обычный 5 2 6 6" xfId="1704"/>
    <cellStyle name="Обычный 5 2 7" xfId="173"/>
    <cellStyle name="Обычный 5 2 7 2" xfId="445"/>
    <cellStyle name="Обычный 5 2 7 2 2" xfId="988"/>
    <cellStyle name="Обычный 5 2 7 2 2 2" xfId="2602"/>
    <cellStyle name="Обычный 5 2 7 2 3" xfId="1524"/>
    <cellStyle name="Обычный 5 2 7 2 3 2" xfId="3138"/>
    <cellStyle name="Обычный 5 2 7 2 4" xfId="2060"/>
    <cellStyle name="Обычный 5 2 7 3" xfId="720"/>
    <cellStyle name="Обычный 5 2 7 3 2" xfId="2334"/>
    <cellStyle name="Обычный 5 2 7 4" xfId="1256"/>
    <cellStyle name="Обычный 5 2 7 4 2" xfId="2870"/>
    <cellStyle name="Обычный 5 2 7 5" xfId="1792"/>
    <cellStyle name="Обычный 5 2 8" xfId="313"/>
    <cellStyle name="Обычный 5 2 8 2" xfId="856"/>
    <cellStyle name="Обычный 5 2 8 2 2" xfId="2470"/>
    <cellStyle name="Обычный 5 2 8 3" xfId="1392"/>
    <cellStyle name="Обычный 5 2 8 3 2" xfId="3006"/>
    <cellStyle name="Обычный 5 2 8 4" xfId="1928"/>
    <cellStyle name="Обычный 5 2 9" xfId="584"/>
    <cellStyle name="Обычный 5 2 9 2" xfId="2198"/>
    <cellStyle name="Обычный 5 3" xfId="43"/>
    <cellStyle name="Обычный 5 3 2" xfId="61"/>
    <cellStyle name="Обычный 5 3 2 2" xfId="156"/>
    <cellStyle name="Обычный 5 3 2 2 2" xfId="295"/>
    <cellStyle name="Обычный 5 3 2 2 2 2" xfId="563"/>
    <cellStyle name="Обычный 5 3 2 2 2 2 2" xfId="1106"/>
    <cellStyle name="Обычный 5 3 2 2 2 2 2 2" xfId="2720"/>
    <cellStyle name="Обычный 5 3 2 2 2 2 3" xfId="1642"/>
    <cellStyle name="Обычный 5 3 2 2 2 2 3 2" xfId="3256"/>
    <cellStyle name="Обычный 5 3 2 2 2 2 4" xfId="2178"/>
    <cellStyle name="Обычный 5 3 2 2 2 3" xfId="838"/>
    <cellStyle name="Обычный 5 3 2 2 2 3 2" xfId="2452"/>
    <cellStyle name="Обычный 5 3 2 2 2 4" xfId="1374"/>
    <cellStyle name="Обычный 5 3 2 2 2 4 2" xfId="2988"/>
    <cellStyle name="Обычный 5 3 2 2 2 5" xfId="1910"/>
    <cellStyle name="Обычный 5 3 2 2 3" xfId="431"/>
    <cellStyle name="Обычный 5 3 2 2 3 2" xfId="974"/>
    <cellStyle name="Обычный 5 3 2 2 3 2 2" xfId="2588"/>
    <cellStyle name="Обычный 5 3 2 2 3 3" xfId="1510"/>
    <cellStyle name="Обычный 5 3 2 2 3 3 2" xfId="3124"/>
    <cellStyle name="Обычный 5 3 2 2 3 4" xfId="2046"/>
    <cellStyle name="Обычный 5 3 2 2 4" xfId="706"/>
    <cellStyle name="Обычный 5 3 2 2 4 2" xfId="2320"/>
    <cellStyle name="Обычный 5 3 2 2 5" xfId="1242"/>
    <cellStyle name="Обычный 5 3 2 2 5 2" xfId="2856"/>
    <cellStyle name="Обычный 5 3 2 2 6" xfId="1778"/>
    <cellStyle name="Обычный 5 3 2 3" xfId="108"/>
    <cellStyle name="Обычный 5 3 2 3 2" xfId="250"/>
    <cellStyle name="Обычный 5 3 2 3 2 2" xfId="519"/>
    <cellStyle name="Обычный 5 3 2 3 2 2 2" xfId="1062"/>
    <cellStyle name="Обычный 5 3 2 3 2 2 2 2" xfId="2676"/>
    <cellStyle name="Обычный 5 3 2 3 2 2 3" xfId="1598"/>
    <cellStyle name="Обычный 5 3 2 3 2 2 3 2" xfId="3212"/>
    <cellStyle name="Обычный 5 3 2 3 2 2 4" xfId="2134"/>
    <cellStyle name="Обычный 5 3 2 3 2 3" xfId="794"/>
    <cellStyle name="Обычный 5 3 2 3 2 3 2" xfId="2408"/>
    <cellStyle name="Обычный 5 3 2 3 2 4" xfId="1330"/>
    <cellStyle name="Обычный 5 3 2 3 2 4 2" xfId="2944"/>
    <cellStyle name="Обычный 5 3 2 3 2 5" xfId="1866"/>
    <cellStyle name="Обычный 5 3 2 3 3" xfId="387"/>
    <cellStyle name="Обычный 5 3 2 3 3 2" xfId="930"/>
    <cellStyle name="Обычный 5 3 2 3 3 2 2" xfId="2544"/>
    <cellStyle name="Обычный 5 3 2 3 3 3" xfId="1466"/>
    <cellStyle name="Обычный 5 3 2 3 3 3 2" xfId="3080"/>
    <cellStyle name="Обычный 5 3 2 3 3 4" xfId="2002"/>
    <cellStyle name="Обычный 5 3 2 3 4" xfId="661"/>
    <cellStyle name="Обычный 5 3 2 3 4 2" xfId="2275"/>
    <cellStyle name="Обычный 5 3 2 3 5" xfId="1198"/>
    <cellStyle name="Обычный 5 3 2 3 5 2" xfId="2812"/>
    <cellStyle name="Обычный 5 3 2 3 6" xfId="1734"/>
    <cellStyle name="Обычный 5 3 2 4" xfId="205"/>
    <cellStyle name="Обычный 5 3 2 4 2" xfId="475"/>
    <cellStyle name="Обычный 5 3 2 4 2 2" xfId="1018"/>
    <cellStyle name="Обычный 5 3 2 4 2 2 2" xfId="2632"/>
    <cellStyle name="Обычный 5 3 2 4 2 3" xfId="1554"/>
    <cellStyle name="Обычный 5 3 2 4 2 3 2" xfId="3168"/>
    <cellStyle name="Обычный 5 3 2 4 2 4" xfId="2090"/>
    <cellStyle name="Обычный 5 3 2 4 3" xfId="750"/>
    <cellStyle name="Обычный 5 3 2 4 3 2" xfId="2364"/>
    <cellStyle name="Обычный 5 3 2 4 4" xfId="1286"/>
    <cellStyle name="Обычный 5 3 2 4 4 2" xfId="2900"/>
    <cellStyle name="Обычный 5 3 2 4 5" xfId="1822"/>
    <cellStyle name="Обычный 5 3 2 5" xfId="343"/>
    <cellStyle name="Обычный 5 3 2 5 2" xfId="886"/>
    <cellStyle name="Обычный 5 3 2 5 2 2" xfId="2500"/>
    <cellStyle name="Обычный 5 3 2 5 3" xfId="1422"/>
    <cellStyle name="Обычный 5 3 2 5 3 2" xfId="3036"/>
    <cellStyle name="Обычный 5 3 2 5 4" xfId="1958"/>
    <cellStyle name="Обычный 5 3 2 6" xfId="616"/>
    <cellStyle name="Обычный 5 3 2 6 2" xfId="2230"/>
    <cellStyle name="Обычный 5 3 2 7" xfId="1154"/>
    <cellStyle name="Обычный 5 3 2 7 2" xfId="2768"/>
    <cellStyle name="Обычный 5 3 2 8" xfId="1690"/>
    <cellStyle name="Обычный 5 3 3" xfId="138"/>
    <cellStyle name="Обычный 5 3 3 2" xfId="277"/>
    <cellStyle name="Обычный 5 3 3 2 2" xfId="545"/>
    <cellStyle name="Обычный 5 3 3 2 2 2" xfId="1088"/>
    <cellStyle name="Обычный 5 3 3 2 2 2 2" xfId="2702"/>
    <cellStyle name="Обычный 5 3 3 2 2 3" xfId="1624"/>
    <cellStyle name="Обычный 5 3 3 2 2 3 2" xfId="3238"/>
    <cellStyle name="Обычный 5 3 3 2 2 4" xfId="2160"/>
    <cellStyle name="Обычный 5 3 3 2 3" xfId="820"/>
    <cellStyle name="Обычный 5 3 3 2 3 2" xfId="2434"/>
    <cellStyle name="Обычный 5 3 3 2 4" xfId="1356"/>
    <cellStyle name="Обычный 5 3 3 2 4 2" xfId="2970"/>
    <cellStyle name="Обычный 5 3 3 2 5" xfId="1892"/>
    <cellStyle name="Обычный 5 3 3 3" xfId="413"/>
    <cellStyle name="Обычный 5 3 3 3 2" xfId="956"/>
    <cellStyle name="Обычный 5 3 3 3 2 2" xfId="2570"/>
    <cellStyle name="Обычный 5 3 3 3 3" xfId="1492"/>
    <cellStyle name="Обычный 5 3 3 3 3 2" xfId="3106"/>
    <cellStyle name="Обычный 5 3 3 3 4" xfId="2028"/>
    <cellStyle name="Обычный 5 3 3 4" xfId="688"/>
    <cellStyle name="Обычный 5 3 3 4 2" xfId="2302"/>
    <cellStyle name="Обычный 5 3 3 5" xfId="1224"/>
    <cellStyle name="Обычный 5 3 3 5 2" xfId="2838"/>
    <cellStyle name="Обычный 5 3 3 6" xfId="1760"/>
    <cellStyle name="Обычный 5 3 4" xfId="90"/>
    <cellStyle name="Обычный 5 3 4 2" xfId="232"/>
    <cellStyle name="Обычный 5 3 4 2 2" xfId="501"/>
    <cellStyle name="Обычный 5 3 4 2 2 2" xfId="1044"/>
    <cellStyle name="Обычный 5 3 4 2 2 2 2" xfId="2658"/>
    <cellStyle name="Обычный 5 3 4 2 2 3" xfId="1580"/>
    <cellStyle name="Обычный 5 3 4 2 2 3 2" xfId="3194"/>
    <cellStyle name="Обычный 5 3 4 2 2 4" xfId="2116"/>
    <cellStyle name="Обычный 5 3 4 2 3" xfId="776"/>
    <cellStyle name="Обычный 5 3 4 2 3 2" xfId="2390"/>
    <cellStyle name="Обычный 5 3 4 2 4" xfId="1312"/>
    <cellStyle name="Обычный 5 3 4 2 4 2" xfId="2926"/>
    <cellStyle name="Обычный 5 3 4 2 5" xfId="1848"/>
    <cellStyle name="Обычный 5 3 4 3" xfId="369"/>
    <cellStyle name="Обычный 5 3 4 3 2" xfId="912"/>
    <cellStyle name="Обычный 5 3 4 3 2 2" xfId="2526"/>
    <cellStyle name="Обычный 5 3 4 3 3" xfId="1448"/>
    <cellStyle name="Обычный 5 3 4 3 3 2" xfId="3062"/>
    <cellStyle name="Обычный 5 3 4 3 4" xfId="1984"/>
    <cellStyle name="Обычный 5 3 4 4" xfId="643"/>
    <cellStyle name="Обычный 5 3 4 4 2" xfId="2257"/>
    <cellStyle name="Обычный 5 3 4 5" xfId="1180"/>
    <cellStyle name="Обычный 5 3 4 5 2" xfId="2794"/>
    <cellStyle name="Обычный 5 3 4 6" xfId="1716"/>
    <cellStyle name="Обычный 5 3 5" xfId="187"/>
    <cellStyle name="Обычный 5 3 5 2" xfId="457"/>
    <cellStyle name="Обычный 5 3 5 2 2" xfId="1000"/>
    <cellStyle name="Обычный 5 3 5 2 2 2" xfId="2614"/>
    <cellStyle name="Обычный 5 3 5 2 3" xfId="1536"/>
    <cellStyle name="Обычный 5 3 5 2 3 2" xfId="3150"/>
    <cellStyle name="Обычный 5 3 5 2 4" xfId="2072"/>
    <cellStyle name="Обычный 5 3 5 3" xfId="732"/>
    <cellStyle name="Обычный 5 3 5 3 2" xfId="2346"/>
    <cellStyle name="Обычный 5 3 5 4" xfId="1268"/>
    <cellStyle name="Обычный 5 3 5 4 2" xfId="2882"/>
    <cellStyle name="Обычный 5 3 5 5" xfId="1804"/>
    <cellStyle name="Обычный 5 3 6" xfId="325"/>
    <cellStyle name="Обычный 5 3 6 2" xfId="868"/>
    <cellStyle name="Обычный 5 3 6 2 2" xfId="2482"/>
    <cellStyle name="Обычный 5 3 6 3" xfId="1404"/>
    <cellStyle name="Обычный 5 3 6 3 2" xfId="3018"/>
    <cellStyle name="Обычный 5 3 6 4" xfId="1940"/>
    <cellStyle name="Обычный 5 3 7" xfId="598"/>
    <cellStyle name="Обычный 5 3 7 2" xfId="2212"/>
    <cellStyle name="Обычный 5 3 8" xfId="1136"/>
    <cellStyle name="Обычный 5 3 8 2" xfId="2750"/>
    <cellStyle name="Обычный 5 3 9" xfId="1672"/>
    <cellStyle name="Обычный 5 4" xfId="32"/>
    <cellStyle name="Обычный 5 4 2" xfId="127"/>
    <cellStyle name="Обычный 5 4 2 2" xfId="268"/>
    <cellStyle name="Обычный 5 4 2 2 2" xfId="537"/>
    <cellStyle name="Обычный 5 4 2 2 2 2" xfId="1080"/>
    <cellStyle name="Обычный 5 4 2 2 2 2 2" xfId="2694"/>
    <cellStyle name="Обычный 5 4 2 2 2 3" xfId="1616"/>
    <cellStyle name="Обычный 5 4 2 2 2 3 2" xfId="3230"/>
    <cellStyle name="Обычный 5 4 2 2 2 4" xfId="2152"/>
    <cellStyle name="Обычный 5 4 2 2 3" xfId="812"/>
    <cellStyle name="Обычный 5 4 2 2 3 2" xfId="2426"/>
    <cellStyle name="Обычный 5 4 2 2 4" xfId="1348"/>
    <cellStyle name="Обычный 5 4 2 2 4 2" xfId="2962"/>
    <cellStyle name="Обычный 5 4 2 2 5" xfId="1884"/>
    <cellStyle name="Обычный 5 4 2 3" xfId="405"/>
    <cellStyle name="Обычный 5 4 2 3 2" xfId="948"/>
    <cellStyle name="Обычный 5 4 2 3 2 2" xfId="2562"/>
    <cellStyle name="Обычный 5 4 2 3 3" xfId="1484"/>
    <cellStyle name="Обычный 5 4 2 3 3 2" xfId="3098"/>
    <cellStyle name="Обычный 5 4 2 3 4" xfId="2020"/>
    <cellStyle name="Обычный 5 4 2 4" xfId="679"/>
    <cellStyle name="Обычный 5 4 2 4 2" xfId="2293"/>
    <cellStyle name="Обычный 5 4 2 5" xfId="1216"/>
    <cellStyle name="Обычный 5 4 2 5 2" xfId="2830"/>
    <cellStyle name="Обычный 5 4 2 6" xfId="1752"/>
    <cellStyle name="Обычный 5 4 3" xfId="79"/>
    <cellStyle name="Обычный 5 4 3 2" xfId="223"/>
    <cellStyle name="Обычный 5 4 3 2 2" xfId="493"/>
    <cellStyle name="Обычный 5 4 3 2 2 2" xfId="1036"/>
    <cellStyle name="Обычный 5 4 3 2 2 2 2" xfId="2650"/>
    <cellStyle name="Обычный 5 4 3 2 2 3" xfId="1572"/>
    <cellStyle name="Обычный 5 4 3 2 2 3 2" xfId="3186"/>
    <cellStyle name="Обычный 5 4 3 2 2 4" xfId="2108"/>
    <cellStyle name="Обычный 5 4 3 2 3" xfId="768"/>
    <cellStyle name="Обычный 5 4 3 2 3 2" xfId="2382"/>
    <cellStyle name="Обычный 5 4 3 2 4" xfId="1304"/>
    <cellStyle name="Обычный 5 4 3 2 4 2" xfId="2918"/>
    <cellStyle name="Обычный 5 4 3 2 5" xfId="1840"/>
    <cellStyle name="Обычный 5 4 3 3" xfId="361"/>
    <cellStyle name="Обычный 5 4 3 3 2" xfId="904"/>
    <cellStyle name="Обычный 5 4 3 3 2 2" xfId="2518"/>
    <cellStyle name="Обычный 5 4 3 3 3" xfId="1440"/>
    <cellStyle name="Обычный 5 4 3 3 3 2" xfId="3054"/>
    <cellStyle name="Обычный 5 4 3 3 4" xfId="1976"/>
    <cellStyle name="Обычный 5 4 3 4" xfId="634"/>
    <cellStyle name="Обычный 5 4 3 4 2" xfId="2248"/>
    <cellStyle name="Обычный 5 4 3 5" xfId="1172"/>
    <cellStyle name="Обычный 5 4 3 5 2" xfId="2786"/>
    <cellStyle name="Обычный 5 4 3 6" xfId="1708"/>
    <cellStyle name="Обычный 5 4 4" xfId="178"/>
    <cellStyle name="Обычный 5 4 4 2" xfId="449"/>
    <cellStyle name="Обычный 5 4 4 2 2" xfId="992"/>
    <cellStyle name="Обычный 5 4 4 2 2 2" xfId="2606"/>
    <cellStyle name="Обычный 5 4 4 2 3" xfId="1528"/>
    <cellStyle name="Обычный 5 4 4 2 3 2" xfId="3142"/>
    <cellStyle name="Обычный 5 4 4 2 4" xfId="2064"/>
    <cellStyle name="Обычный 5 4 4 3" xfId="724"/>
    <cellStyle name="Обычный 5 4 4 3 2" xfId="2338"/>
    <cellStyle name="Обычный 5 4 4 4" xfId="1260"/>
    <cellStyle name="Обычный 5 4 4 4 2" xfId="2874"/>
    <cellStyle name="Обычный 5 4 4 5" xfId="1796"/>
    <cellStyle name="Обычный 5 4 5" xfId="317"/>
    <cellStyle name="Обычный 5 4 5 2" xfId="860"/>
    <cellStyle name="Обычный 5 4 5 2 2" xfId="2474"/>
    <cellStyle name="Обычный 5 4 5 3" xfId="1396"/>
    <cellStyle name="Обычный 5 4 5 3 2" xfId="3010"/>
    <cellStyle name="Обычный 5 4 5 4" xfId="1932"/>
    <cellStyle name="Обычный 5 4 6" xfId="589"/>
    <cellStyle name="Обычный 5 4 6 2" xfId="2203"/>
    <cellStyle name="Обычный 5 4 7" xfId="1128"/>
    <cellStyle name="Обычный 5 4 7 2" xfId="2742"/>
    <cellStyle name="Обычный 5 4 8" xfId="1664"/>
    <cellStyle name="Обычный 5 5" xfId="52"/>
    <cellStyle name="Обычный 5 5 2" xfId="147"/>
    <cellStyle name="Обычный 5 5 2 2" xfId="286"/>
    <cellStyle name="Обычный 5 5 2 2 2" xfId="554"/>
    <cellStyle name="Обычный 5 5 2 2 2 2" xfId="1097"/>
    <cellStyle name="Обычный 5 5 2 2 2 2 2" xfId="2711"/>
    <cellStyle name="Обычный 5 5 2 2 2 3" xfId="1633"/>
    <cellStyle name="Обычный 5 5 2 2 2 3 2" xfId="3247"/>
    <cellStyle name="Обычный 5 5 2 2 2 4" xfId="2169"/>
    <cellStyle name="Обычный 5 5 2 2 3" xfId="829"/>
    <cellStyle name="Обычный 5 5 2 2 3 2" xfId="2443"/>
    <cellStyle name="Обычный 5 5 2 2 4" xfId="1365"/>
    <cellStyle name="Обычный 5 5 2 2 4 2" xfId="2979"/>
    <cellStyle name="Обычный 5 5 2 2 5" xfId="1901"/>
    <cellStyle name="Обычный 5 5 2 3" xfId="422"/>
    <cellStyle name="Обычный 5 5 2 3 2" xfId="965"/>
    <cellStyle name="Обычный 5 5 2 3 2 2" xfId="2579"/>
    <cellStyle name="Обычный 5 5 2 3 3" xfId="1501"/>
    <cellStyle name="Обычный 5 5 2 3 3 2" xfId="3115"/>
    <cellStyle name="Обычный 5 5 2 3 4" xfId="2037"/>
    <cellStyle name="Обычный 5 5 2 4" xfId="697"/>
    <cellStyle name="Обычный 5 5 2 4 2" xfId="2311"/>
    <cellStyle name="Обычный 5 5 2 5" xfId="1233"/>
    <cellStyle name="Обычный 5 5 2 5 2" xfId="2847"/>
    <cellStyle name="Обычный 5 5 2 6" xfId="1769"/>
    <cellStyle name="Обычный 5 5 3" xfId="99"/>
    <cellStyle name="Обычный 5 5 3 2" xfId="241"/>
    <cellStyle name="Обычный 5 5 3 2 2" xfId="510"/>
    <cellStyle name="Обычный 5 5 3 2 2 2" xfId="1053"/>
    <cellStyle name="Обычный 5 5 3 2 2 2 2" xfId="2667"/>
    <cellStyle name="Обычный 5 5 3 2 2 3" xfId="1589"/>
    <cellStyle name="Обычный 5 5 3 2 2 3 2" xfId="3203"/>
    <cellStyle name="Обычный 5 5 3 2 2 4" xfId="2125"/>
    <cellStyle name="Обычный 5 5 3 2 3" xfId="785"/>
    <cellStyle name="Обычный 5 5 3 2 3 2" xfId="2399"/>
    <cellStyle name="Обычный 5 5 3 2 4" xfId="1321"/>
    <cellStyle name="Обычный 5 5 3 2 4 2" xfId="2935"/>
    <cellStyle name="Обычный 5 5 3 2 5" xfId="1857"/>
    <cellStyle name="Обычный 5 5 3 3" xfId="378"/>
    <cellStyle name="Обычный 5 5 3 3 2" xfId="921"/>
    <cellStyle name="Обычный 5 5 3 3 2 2" xfId="2535"/>
    <cellStyle name="Обычный 5 5 3 3 3" xfId="1457"/>
    <cellStyle name="Обычный 5 5 3 3 3 2" xfId="3071"/>
    <cellStyle name="Обычный 5 5 3 3 4" xfId="1993"/>
    <cellStyle name="Обычный 5 5 3 4" xfId="652"/>
    <cellStyle name="Обычный 5 5 3 4 2" xfId="2266"/>
    <cellStyle name="Обычный 5 5 3 5" xfId="1189"/>
    <cellStyle name="Обычный 5 5 3 5 2" xfId="2803"/>
    <cellStyle name="Обычный 5 5 3 6" xfId="1725"/>
    <cellStyle name="Обычный 5 5 4" xfId="196"/>
    <cellStyle name="Обычный 5 5 4 2" xfId="466"/>
    <cellStyle name="Обычный 5 5 4 2 2" xfId="1009"/>
    <cellStyle name="Обычный 5 5 4 2 2 2" xfId="2623"/>
    <cellStyle name="Обычный 5 5 4 2 3" xfId="1545"/>
    <cellStyle name="Обычный 5 5 4 2 3 2" xfId="3159"/>
    <cellStyle name="Обычный 5 5 4 2 4" xfId="2081"/>
    <cellStyle name="Обычный 5 5 4 3" xfId="741"/>
    <cellStyle name="Обычный 5 5 4 3 2" xfId="2355"/>
    <cellStyle name="Обычный 5 5 4 4" xfId="1277"/>
    <cellStyle name="Обычный 5 5 4 4 2" xfId="2891"/>
    <cellStyle name="Обычный 5 5 4 5" xfId="1813"/>
    <cellStyle name="Обычный 5 5 5" xfId="334"/>
    <cellStyle name="Обычный 5 5 5 2" xfId="877"/>
    <cellStyle name="Обычный 5 5 5 2 2" xfId="2491"/>
    <cellStyle name="Обычный 5 5 5 3" xfId="1413"/>
    <cellStyle name="Обычный 5 5 5 3 2" xfId="3027"/>
    <cellStyle name="Обычный 5 5 5 4" xfId="1949"/>
    <cellStyle name="Обычный 5 5 6" xfId="607"/>
    <cellStyle name="Обычный 5 5 6 2" xfId="2221"/>
    <cellStyle name="Обычный 5 5 7" xfId="1145"/>
    <cellStyle name="Обычный 5 5 7 2" xfId="2759"/>
    <cellStyle name="Обычный 5 5 8" xfId="1681"/>
    <cellStyle name="Обычный 5 6" xfId="118"/>
    <cellStyle name="Обычный 5 6 2" xfId="259"/>
    <cellStyle name="Обычный 5 6 2 2" xfId="528"/>
    <cellStyle name="Обычный 5 6 2 2 2" xfId="1071"/>
    <cellStyle name="Обычный 5 6 2 2 2 2" xfId="2685"/>
    <cellStyle name="Обычный 5 6 2 2 3" xfId="1607"/>
    <cellStyle name="Обычный 5 6 2 2 3 2" xfId="3221"/>
    <cellStyle name="Обычный 5 6 2 2 4" xfId="2143"/>
    <cellStyle name="Обычный 5 6 2 3" xfId="803"/>
    <cellStyle name="Обычный 5 6 2 3 2" xfId="2417"/>
    <cellStyle name="Обычный 5 6 2 4" xfId="1339"/>
    <cellStyle name="Обычный 5 6 2 4 2" xfId="2953"/>
    <cellStyle name="Обычный 5 6 2 5" xfId="1875"/>
    <cellStyle name="Обычный 5 6 3" xfId="396"/>
    <cellStyle name="Обычный 5 6 3 2" xfId="939"/>
    <cellStyle name="Обычный 5 6 3 2 2" xfId="2553"/>
    <cellStyle name="Обычный 5 6 3 3" xfId="1475"/>
    <cellStyle name="Обычный 5 6 3 3 2" xfId="3089"/>
    <cellStyle name="Обычный 5 6 3 4" xfId="2011"/>
    <cellStyle name="Обычный 5 6 4" xfId="670"/>
    <cellStyle name="Обычный 5 6 4 2" xfId="2284"/>
    <cellStyle name="Обычный 5 6 5" xfId="1207"/>
    <cellStyle name="Обычный 5 6 5 2" xfId="2821"/>
    <cellStyle name="Обычный 5 6 6" xfId="1743"/>
    <cellStyle name="Обычный 5 7" xfId="70"/>
    <cellStyle name="Обычный 5 7 2" xfId="214"/>
    <cellStyle name="Обычный 5 7 2 2" xfId="484"/>
    <cellStyle name="Обычный 5 7 2 2 2" xfId="1027"/>
    <cellStyle name="Обычный 5 7 2 2 2 2" xfId="2641"/>
    <cellStyle name="Обычный 5 7 2 2 3" xfId="1563"/>
    <cellStyle name="Обычный 5 7 2 2 3 2" xfId="3177"/>
    <cellStyle name="Обычный 5 7 2 2 4" xfId="2099"/>
    <cellStyle name="Обычный 5 7 2 3" xfId="759"/>
    <cellStyle name="Обычный 5 7 2 3 2" xfId="2373"/>
    <cellStyle name="Обычный 5 7 2 4" xfId="1295"/>
    <cellStyle name="Обычный 5 7 2 4 2" xfId="2909"/>
    <cellStyle name="Обычный 5 7 2 5" xfId="1831"/>
    <cellStyle name="Обычный 5 7 3" xfId="352"/>
    <cellStyle name="Обычный 5 7 3 2" xfId="895"/>
    <cellStyle name="Обычный 5 7 3 2 2" xfId="2509"/>
    <cellStyle name="Обычный 5 7 3 3" xfId="1431"/>
    <cellStyle name="Обычный 5 7 3 3 2" xfId="3045"/>
    <cellStyle name="Обычный 5 7 3 4" xfId="1967"/>
    <cellStyle name="Обычный 5 7 4" xfId="625"/>
    <cellStyle name="Обычный 5 7 4 2" xfId="2239"/>
    <cellStyle name="Обычный 5 7 5" xfId="1163"/>
    <cellStyle name="Обычный 5 7 5 2" xfId="2777"/>
    <cellStyle name="Обычный 5 7 6" xfId="1699"/>
    <cellStyle name="Обычный 5 8" xfId="166"/>
    <cellStyle name="Обычный 5 8 2" xfId="440"/>
    <cellStyle name="Обычный 5 8 2 2" xfId="983"/>
    <cellStyle name="Обычный 5 8 2 2 2" xfId="2597"/>
    <cellStyle name="Обычный 5 8 2 3" xfId="1519"/>
    <cellStyle name="Обычный 5 8 2 3 2" xfId="3133"/>
    <cellStyle name="Обычный 5 8 2 4" xfId="2055"/>
    <cellStyle name="Обычный 5 8 3" xfId="715"/>
    <cellStyle name="Обычный 5 8 3 2" xfId="2329"/>
    <cellStyle name="Обычный 5 8 4" xfId="1251"/>
    <cellStyle name="Обычный 5 8 4 2" xfId="2865"/>
    <cellStyle name="Обычный 5 8 5" xfId="1787"/>
    <cellStyle name="Обычный 5 9" xfId="308"/>
    <cellStyle name="Обычный 5 9 2" xfId="851"/>
    <cellStyle name="Обычный 5 9 2 2" xfId="2465"/>
    <cellStyle name="Обычный 5 9 3" xfId="1387"/>
    <cellStyle name="Обычный 5 9 3 2" xfId="3001"/>
    <cellStyle name="Обычный 5 9 4" xfId="1923"/>
    <cellStyle name="Обычный 6" xfId="22"/>
    <cellStyle name="Обычный 6 10" xfId="1657"/>
    <cellStyle name="Обычный 6 2" xfId="45"/>
    <cellStyle name="Обычный 6 2 2" xfId="63"/>
    <cellStyle name="Обычный 6 2 2 2" xfId="158"/>
    <cellStyle name="Обычный 6 2 2 2 2" xfId="297"/>
    <cellStyle name="Обычный 6 2 2 2 2 2" xfId="565"/>
    <cellStyle name="Обычный 6 2 2 2 2 2 2" xfId="1108"/>
    <cellStyle name="Обычный 6 2 2 2 2 2 2 2" xfId="2722"/>
    <cellStyle name="Обычный 6 2 2 2 2 2 3" xfId="1644"/>
    <cellStyle name="Обычный 6 2 2 2 2 2 3 2" xfId="3258"/>
    <cellStyle name="Обычный 6 2 2 2 2 2 4" xfId="2180"/>
    <cellStyle name="Обычный 6 2 2 2 2 3" xfId="840"/>
    <cellStyle name="Обычный 6 2 2 2 2 3 2" xfId="2454"/>
    <cellStyle name="Обычный 6 2 2 2 2 4" xfId="1376"/>
    <cellStyle name="Обычный 6 2 2 2 2 4 2" xfId="2990"/>
    <cellStyle name="Обычный 6 2 2 2 2 5" xfId="1912"/>
    <cellStyle name="Обычный 6 2 2 2 3" xfId="433"/>
    <cellStyle name="Обычный 6 2 2 2 3 2" xfId="976"/>
    <cellStyle name="Обычный 6 2 2 2 3 2 2" xfId="2590"/>
    <cellStyle name="Обычный 6 2 2 2 3 3" xfId="1512"/>
    <cellStyle name="Обычный 6 2 2 2 3 3 2" xfId="3126"/>
    <cellStyle name="Обычный 6 2 2 2 3 4" xfId="2048"/>
    <cellStyle name="Обычный 6 2 2 2 4" xfId="708"/>
    <cellStyle name="Обычный 6 2 2 2 4 2" xfId="2322"/>
    <cellStyle name="Обычный 6 2 2 2 5" xfId="1244"/>
    <cellStyle name="Обычный 6 2 2 2 5 2" xfId="2858"/>
    <cellStyle name="Обычный 6 2 2 2 6" xfId="1780"/>
    <cellStyle name="Обычный 6 2 2 3" xfId="110"/>
    <cellStyle name="Обычный 6 2 2 3 2" xfId="252"/>
    <cellStyle name="Обычный 6 2 2 3 2 2" xfId="521"/>
    <cellStyle name="Обычный 6 2 2 3 2 2 2" xfId="1064"/>
    <cellStyle name="Обычный 6 2 2 3 2 2 2 2" xfId="2678"/>
    <cellStyle name="Обычный 6 2 2 3 2 2 3" xfId="1600"/>
    <cellStyle name="Обычный 6 2 2 3 2 2 3 2" xfId="3214"/>
    <cellStyle name="Обычный 6 2 2 3 2 2 4" xfId="2136"/>
    <cellStyle name="Обычный 6 2 2 3 2 3" xfId="796"/>
    <cellStyle name="Обычный 6 2 2 3 2 3 2" xfId="2410"/>
    <cellStyle name="Обычный 6 2 2 3 2 4" xfId="1332"/>
    <cellStyle name="Обычный 6 2 2 3 2 4 2" xfId="2946"/>
    <cellStyle name="Обычный 6 2 2 3 2 5" xfId="1868"/>
    <cellStyle name="Обычный 6 2 2 3 3" xfId="389"/>
    <cellStyle name="Обычный 6 2 2 3 3 2" xfId="932"/>
    <cellStyle name="Обычный 6 2 2 3 3 2 2" xfId="2546"/>
    <cellStyle name="Обычный 6 2 2 3 3 3" xfId="1468"/>
    <cellStyle name="Обычный 6 2 2 3 3 3 2" xfId="3082"/>
    <cellStyle name="Обычный 6 2 2 3 3 4" xfId="2004"/>
    <cellStyle name="Обычный 6 2 2 3 4" xfId="663"/>
    <cellStyle name="Обычный 6 2 2 3 4 2" xfId="2277"/>
    <cellStyle name="Обычный 6 2 2 3 5" xfId="1200"/>
    <cellStyle name="Обычный 6 2 2 3 5 2" xfId="2814"/>
    <cellStyle name="Обычный 6 2 2 3 6" xfId="1736"/>
    <cellStyle name="Обычный 6 2 2 4" xfId="207"/>
    <cellStyle name="Обычный 6 2 2 4 2" xfId="477"/>
    <cellStyle name="Обычный 6 2 2 4 2 2" xfId="1020"/>
    <cellStyle name="Обычный 6 2 2 4 2 2 2" xfId="2634"/>
    <cellStyle name="Обычный 6 2 2 4 2 3" xfId="1556"/>
    <cellStyle name="Обычный 6 2 2 4 2 3 2" xfId="3170"/>
    <cellStyle name="Обычный 6 2 2 4 2 4" xfId="2092"/>
    <cellStyle name="Обычный 6 2 2 4 3" xfId="752"/>
    <cellStyle name="Обычный 6 2 2 4 3 2" xfId="2366"/>
    <cellStyle name="Обычный 6 2 2 4 4" xfId="1288"/>
    <cellStyle name="Обычный 6 2 2 4 4 2" xfId="2902"/>
    <cellStyle name="Обычный 6 2 2 4 5" xfId="1824"/>
    <cellStyle name="Обычный 6 2 2 5" xfId="345"/>
    <cellStyle name="Обычный 6 2 2 5 2" xfId="888"/>
    <cellStyle name="Обычный 6 2 2 5 2 2" xfId="2502"/>
    <cellStyle name="Обычный 6 2 2 5 3" xfId="1424"/>
    <cellStyle name="Обычный 6 2 2 5 3 2" xfId="3038"/>
    <cellStyle name="Обычный 6 2 2 5 4" xfId="1960"/>
    <cellStyle name="Обычный 6 2 2 6" xfId="618"/>
    <cellStyle name="Обычный 6 2 2 6 2" xfId="2232"/>
    <cellStyle name="Обычный 6 2 2 7" xfId="1156"/>
    <cellStyle name="Обычный 6 2 2 7 2" xfId="2770"/>
    <cellStyle name="Обычный 6 2 2 8" xfId="1692"/>
    <cellStyle name="Обычный 6 2 3" xfId="140"/>
    <cellStyle name="Обычный 6 2 3 2" xfId="279"/>
    <cellStyle name="Обычный 6 2 3 2 2" xfId="547"/>
    <cellStyle name="Обычный 6 2 3 2 2 2" xfId="1090"/>
    <cellStyle name="Обычный 6 2 3 2 2 2 2" xfId="2704"/>
    <cellStyle name="Обычный 6 2 3 2 2 3" xfId="1626"/>
    <cellStyle name="Обычный 6 2 3 2 2 3 2" xfId="3240"/>
    <cellStyle name="Обычный 6 2 3 2 2 4" xfId="2162"/>
    <cellStyle name="Обычный 6 2 3 2 3" xfId="822"/>
    <cellStyle name="Обычный 6 2 3 2 3 2" xfId="2436"/>
    <cellStyle name="Обычный 6 2 3 2 4" xfId="1358"/>
    <cellStyle name="Обычный 6 2 3 2 4 2" xfId="2972"/>
    <cellStyle name="Обычный 6 2 3 2 5" xfId="1894"/>
    <cellStyle name="Обычный 6 2 3 3" xfId="415"/>
    <cellStyle name="Обычный 6 2 3 3 2" xfId="958"/>
    <cellStyle name="Обычный 6 2 3 3 2 2" xfId="2572"/>
    <cellStyle name="Обычный 6 2 3 3 3" xfId="1494"/>
    <cellStyle name="Обычный 6 2 3 3 3 2" xfId="3108"/>
    <cellStyle name="Обычный 6 2 3 3 4" xfId="2030"/>
    <cellStyle name="Обычный 6 2 3 4" xfId="690"/>
    <cellStyle name="Обычный 6 2 3 4 2" xfId="2304"/>
    <cellStyle name="Обычный 6 2 3 5" xfId="1226"/>
    <cellStyle name="Обычный 6 2 3 5 2" xfId="2840"/>
    <cellStyle name="Обычный 6 2 3 6" xfId="1762"/>
    <cellStyle name="Обычный 6 2 4" xfId="92"/>
    <cellStyle name="Обычный 6 2 4 2" xfId="234"/>
    <cellStyle name="Обычный 6 2 4 2 2" xfId="503"/>
    <cellStyle name="Обычный 6 2 4 2 2 2" xfId="1046"/>
    <cellStyle name="Обычный 6 2 4 2 2 2 2" xfId="2660"/>
    <cellStyle name="Обычный 6 2 4 2 2 3" xfId="1582"/>
    <cellStyle name="Обычный 6 2 4 2 2 3 2" xfId="3196"/>
    <cellStyle name="Обычный 6 2 4 2 2 4" xfId="2118"/>
    <cellStyle name="Обычный 6 2 4 2 3" xfId="778"/>
    <cellStyle name="Обычный 6 2 4 2 3 2" xfId="2392"/>
    <cellStyle name="Обычный 6 2 4 2 4" xfId="1314"/>
    <cellStyle name="Обычный 6 2 4 2 4 2" xfId="2928"/>
    <cellStyle name="Обычный 6 2 4 2 5" xfId="1850"/>
    <cellStyle name="Обычный 6 2 4 3" xfId="371"/>
    <cellStyle name="Обычный 6 2 4 3 2" xfId="914"/>
    <cellStyle name="Обычный 6 2 4 3 2 2" xfId="2528"/>
    <cellStyle name="Обычный 6 2 4 3 3" xfId="1450"/>
    <cellStyle name="Обычный 6 2 4 3 3 2" xfId="3064"/>
    <cellStyle name="Обычный 6 2 4 3 4" xfId="1986"/>
    <cellStyle name="Обычный 6 2 4 4" xfId="645"/>
    <cellStyle name="Обычный 6 2 4 4 2" xfId="2259"/>
    <cellStyle name="Обычный 6 2 4 5" xfId="1182"/>
    <cellStyle name="Обычный 6 2 4 5 2" xfId="2796"/>
    <cellStyle name="Обычный 6 2 4 6" xfId="1718"/>
    <cellStyle name="Обычный 6 2 5" xfId="189"/>
    <cellStyle name="Обычный 6 2 5 2" xfId="459"/>
    <cellStyle name="Обычный 6 2 5 2 2" xfId="1002"/>
    <cellStyle name="Обычный 6 2 5 2 2 2" xfId="2616"/>
    <cellStyle name="Обычный 6 2 5 2 3" xfId="1538"/>
    <cellStyle name="Обычный 6 2 5 2 3 2" xfId="3152"/>
    <cellStyle name="Обычный 6 2 5 2 4" xfId="2074"/>
    <cellStyle name="Обычный 6 2 5 3" xfId="734"/>
    <cellStyle name="Обычный 6 2 5 3 2" xfId="2348"/>
    <cellStyle name="Обычный 6 2 5 4" xfId="1270"/>
    <cellStyle name="Обычный 6 2 5 4 2" xfId="2884"/>
    <cellStyle name="Обычный 6 2 5 5" xfId="1806"/>
    <cellStyle name="Обычный 6 2 6" xfId="327"/>
    <cellStyle name="Обычный 6 2 6 2" xfId="870"/>
    <cellStyle name="Обычный 6 2 6 2 2" xfId="2484"/>
    <cellStyle name="Обычный 6 2 6 3" xfId="1406"/>
    <cellStyle name="Обычный 6 2 6 3 2" xfId="3020"/>
    <cellStyle name="Обычный 6 2 6 4" xfId="1942"/>
    <cellStyle name="Обычный 6 2 7" xfId="600"/>
    <cellStyle name="Обычный 6 2 7 2" xfId="2214"/>
    <cellStyle name="Обычный 6 2 8" xfId="1138"/>
    <cellStyle name="Обычный 6 2 8 2" xfId="2752"/>
    <cellStyle name="Обычный 6 2 9" xfId="1674"/>
    <cellStyle name="Обычный 6 3" xfId="58"/>
    <cellStyle name="Обычный 6 3 2" xfId="153"/>
    <cellStyle name="Обычный 6 3 2 2" xfId="292"/>
    <cellStyle name="Обычный 6 3 2 2 2" xfId="560"/>
    <cellStyle name="Обычный 6 3 2 2 2 2" xfId="1103"/>
    <cellStyle name="Обычный 6 3 2 2 2 2 2" xfId="2717"/>
    <cellStyle name="Обычный 6 3 2 2 2 3" xfId="1639"/>
    <cellStyle name="Обычный 6 3 2 2 2 3 2" xfId="3253"/>
    <cellStyle name="Обычный 6 3 2 2 2 4" xfId="2175"/>
    <cellStyle name="Обычный 6 3 2 2 3" xfId="835"/>
    <cellStyle name="Обычный 6 3 2 2 3 2" xfId="2449"/>
    <cellStyle name="Обычный 6 3 2 2 4" xfId="1371"/>
    <cellStyle name="Обычный 6 3 2 2 4 2" xfId="2985"/>
    <cellStyle name="Обычный 6 3 2 2 5" xfId="1907"/>
    <cellStyle name="Обычный 6 3 2 3" xfId="428"/>
    <cellStyle name="Обычный 6 3 2 3 2" xfId="971"/>
    <cellStyle name="Обычный 6 3 2 3 2 2" xfId="2585"/>
    <cellStyle name="Обычный 6 3 2 3 3" xfId="1507"/>
    <cellStyle name="Обычный 6 3 2 3 3 2" xfId="3121"/>
    <cellStyle name="Обычный 6 3 2 3 4" xfId="2043"/>
    <cellStyle name="Обычный 6 3 2 4" xfId="703"/>
    <cellStyle name="Обычный 6 3 2 4 2" xfId="2317"/>
    <cellStyle name="Обычный 6 3 2 5" xfId="1239"/>
    <cellStyle name="Обычный 6 3 2 5 2" xfId="2853"/>
    <cellStyle name="Обычный 6 3 2 6" xfId="1775"/>
    <cellStyle name="Обычный 6 3 3" xfId="105"/>
    <cellStyle name="Обычный 6 3 3 2" xfId="247"/>
    <cellStyle name="Обычный 6 3 3 2 2" xfId="516"/>
    <cellStyle name="Обычный 6 3 3 2 2 2" xfId="1059"/>
    <cellStyle name="Обычный 6 3 3 2 2 2 2" xfId="2673"/>
    <cellStyle name="Обычный 6 3 3 2 2 3" xfId="1595"/>
    <cellStyle name="Обычный 6 3 3 2 2 3 2" xfId="3209"/>
    <cellStyle name="Обычный 6 3 3 2 2 4" xfId="2131"/>
    <cellStyle name="Обычный 6 3 3 2 3" xfId="791"/>
    <cellStyle name="Обычный 6 3 3 2 3 2" xfId="2405"/>
    <cellStyle name="Обычный 6 3 3 2 4" xfId="1327"/>
    <cellStyle name="Обычный 6 3 3 2 4 2" xfId="2941"/>
    <cellStyle name="Обычный 6 3 3 2 5" xfId="1863"/>
    <cellStyle name="Обычный 6 3 3 3" xfId="384"/>
    <cellStyle name="Обычный 6 3 3 3 2" xfId="927"/>
    <cellStyle name="Обычный 6 3 3 3 2 2" xfId="2541"/>
    <cellStyle name="Обычный 6 3 3 3 3" xfId="1463"/>
    <cellStyle name="Обычный 6 3 3 3 3 2" xfId="3077"/>
    <cellStyle name="Обычный 6 3 3 3 4" xfId="1999"/>
    <cellStyle name="Обычный 6 3 3 4" xfId="658"/>
    <cellStyle name="Обычный 6 3 3 4 2" xfId="2272"/>
    <cellStyle name="Обычный 6 3 3 5" xfId="1195"/>
    <cellStyle name="Обычный 6 3 3 5 2" xfId="2809"/>
    <cellStyle name="Обычный 6 3 3 6" xfId="1731"/>
    <cellStyle name="Обычный 6 3 4" xfId="202"/>
    <cellStyle name="Обычный 6 3 4 2" xfId="472"/>
    <cellStyle name="Обычный 6 3 4 2 2" xfId="1015"/>
    <cellStyle name="Обычный 6 3 4 2 2 2" xfId="2629"/>
    <cellStyle name="Обычный 6 3 4 2 3" xfId="1551"/>
    <cellStyle name="Обычный 6 3 4 2 3 2" xfId="3165"/>
    <cellStyle name="Обычный 6 3 4 2 4" xfId="2087"/>
    <cellStyle name="Обычный 6 3 4 3" xfId="747"/>
    <cellStyle name="Обычный 6 3 4 3 2" xfId="2361"/>
    <cellStyle name="Обычный 6 3 4 4" xfId="1283"/>
    <cellStyle name="Обычный 6 3 4 4 2" xfId="2897"/>
    <cellStyle name="Обычный 6 3 4 5" xfId="1819"/>
    <cellStyle name="Обычный 6 3 5" xfId="340"/>
    <cellStyle name="Обычный 6 3 5 2" xfId="883"/>
    <cellStyle name="Обычный 6 3 5 2 2" xfId="2497"/>
    <cellStyle name="Обычный 6 3 5 3" xfId="1419"/>
    <cellStyle name="Обычный 6 3 5 3 2" xfId="3033"/>
    <cellStyle name="Обычный 6 3 5 4" xfId="1955"/>
    <cellStyle name="Обычный 6 3 6" xfId="613"/>
    <cellStyle name="Обычный 6 3 6 2" xfId="2227"/>
    <cellStyle name="Обычный 6 3 7" xfId="1151"/>
    <cellStyle name="Обычный 6 3 7 2" xfId="2765"/>
    <cellStyle name="Обычный 6 3 8" xfId="1687"/>
    <cellStyle name="Обычный 6 4" xfId="120"/>
    <cellStyle name="Обычный 6 4 2" xfId="261"/>
    <cellStyle name="Обычный 6 4 2 2" xfId="530"/>
    <cellStyle name="Обычный 6 4 2 2 2" xfId="1073"/>
    <cellStyle name="Обычный 6 4 2 2 2 2" xfId="2687"/>
    <cellStyle name="Обычный 6 4 2 2 3" xfId="1609"/>
    <cellStyle name="Обычный 6 4 2 2 3 2" xfId="3223"/>
    <cellStyle name="Обычный 6 4 2 2 4" xfId="2145"/>
    <cellStyle name="Обычный 6 4 2 3" xfId="805"/>
    <cellStyle name="Обычный 6 4 2 3 2" xfId="2419"/>
    <cellStyle name="Обычный 6 4 2 4" xfId="1341"/>
    <cellStyle name="Обычный 6 4 2 4 2" xfId="2955"/>
    <cellStyle name="Обычный 6 4 2 5" xfId="1877"/>
    <cellStyle name="Обычный 6 4 3" xfId="398"/>
    <cellStyle name="Обычный 6 4 3 2" xfId="941"/>
    <cellStyle name="Обычный 6 4 3 2 2" xfId="2555"/>
    <cellStyle name="Обычный 6 4 3 3" xfId="1477"/>
    <cellStyle name="Обычный 6 4 3 3 2" xfId="3091"/>
    <cellStyle name="Обычный 6 4 3 4" xfId="2013"/>
    <cellStyle name="Обычный 6 4 4" xfId="672"/>
    <cellStyle name="Обычный 6 4 4 2" xfId="2286"/>
    <cellStyle name="Обычный 6 4 5" xfId="1209"/>
    <cellStyle name="Обычный 6 4 5 2" xfId="2823"/>
    <cellStyle name="Обычный 6 4 6" xfId="1745"/>
    <cellStyle name="Обычный 6 5" xfId="72"/>
    <cellStyle name="Обычный 6 5 2" xfId="216"/>
    <cellStyle name="Обычный 6 5 2 2" xfId="486"/>
    <cellStyle name="Обычный 6 5 2 2 2" xfId="1029"/>
    <cellStyle name="Обычный 6 5 2 2 2 2" xfId="2643"/>
    <cellStyle name="Обычный 6 5 2 2 3" xfId="1565"/>
    <cellStyle name="Обычный 6 5 2 2 3 2" xfId="3179"/>
    <cellStyle name="Обычный 6 5 2 2 4" xfId="2101"/>
    <cellStyle name="Обычный 6 5 2 3" xfId="761"/>
    <cellStyle name="Обычный 6 5 2 3 2" xfId="2375"/>
    <cellStyle name="Обычный 6 5 2 4" xfId="1297"/>
    <cellStyle name="Обычный 6 5 2 4 2" xfId="2911"/>
    <cellStyle name="Обычный 6 5 2 5" xfId="1833"/>
    <cellStyle name="Обычный 6 5 3" xfId="354"/>
    <cellStyle name="Обычный 6 5 3 2" xfId="897"/>
    <cellStyle name="Обычный 6 5 3 2 2" xfId="2511"/>
    <cellStyle name="Обычный 6 5 3 3" xfId="1433"/>
    <cellStyle name="Обычный 6 5 3 3 2" xfId="3047"/>
    <cellStyle name="Обычный 6 5 3 4" xfId="1969"/>
    <cellStyle name="Обычный 6 5 4" xfId="627"/>
    <cellStyle name="Обычный 6 5 4 2" xfId="2241"/>
    <cellStyle name="Обычный 6 5 5" xfId="1165"/>
    <cellStyle name="Обычный 6 5 5 2" xfId="2779"/>
    <cellStyle name="Обычный 6 5 6" xfId="1701"/>
    <cellStyle name="Обычный 6 6" xfId="170"/>
    <cellStyle name="Обычный 6 6 2" xfId="442"/>
    <cellStyle name="Обычный 6 6 2 2" xfId="985"/>
    <cellStyle name="Обычный 6 6 2 2 2" xfId="2599"/>
    <cellStyle name="Обычный 6 6 2 3" xfId="1521"/>
    <cellStyle name="Обычный 6 6 2 3 2" xfId="3135"/>
    <cellStyle name="Обычный 6 6 2 4" xfId="2057"/>
    <cellStyle name="Обычный 6 6 3" xfId="717"/>
    <cellStyle name="Обычный 6 6 3 2" xfId="2331"/>
    <cellStyle name="Обычный 6 6 4" xfId="1253"/>
    <cellStyle name="Обычный 6 6 4 2" xfId="2867"/>
    <cellStyle name="Обычный 6 6 5" xfId="1789"/>
    <cellStyle name="Обычный 6 7" xfId="310"/>
    <cellStyle name="Обычный 6 7 2" xfId="853"/>
    <cellStyle name="Обычный 6 7 2 2" xfId="2467"/>
    <cellStyle name="Обычный 6 7 3" xfId="1389"/>
    <cellStyle name="Обычный 6 7 3 2" xfId="3003"/>
    <cellStyle name="Обычный 6 7 4" xfId="1925"/>
    <cellStyle name="Обычный 6 8" xfId="581"/>
    <cellStyle name="Обычный 6 8 2" xfId="2195"/>
    <cellStyle name="Обычный 6 9" xfId="1121"/>
    <cellStyle name="Обычный 6 9 2" xfId="2735"/>
    <cellStyle name="Обычный 7" xfId="1"/>
    <cellStyle name="Обычный 7 2" xfId="574"/>
    <cellStyle name="Обычный 8" xfId="3267"/>
    <cellStyle name="Обычный 9" xfId="3268"/>
    <cellStyle name="Процентный 2" xfId="3"/>
    <cellStyle name="Финансовый 2" xfId="11"/>
    <cellStyle name="Финансовый 2 10" xfId="307"/>
    <cellStyle name="Финансовый 2 10 2" xfId="850"/>
    <cellStyle name="Финансовый 2 10 2 2" xfId="2464"/>
    <cellStyle name="Финансовый 2 10 3" xfId="1386"/>
    <cellStyle name="Финансовый 2 10 3 2" xfId="3000"/>
    <cellStyle name="Финансовый 2 10 4" xfId="1922"/>
    <cellStyle name="Финансовый 2 11" xfId="576"/>
    <cellStyle name="Финансовый 2 11 2" xfId="2190"/>
    <cellStyle name="Финансовый 2 12" xfId="1118"/>
    <cellStyle name="Финансовый 2 12 2" xfId="2732"/>
    <cellStyle name="Финансовый 2 13" xfId="1654"/>
    <cellStyle name="Финансовый 2 2" xfId="20"/>
    <cellStyle name="Финансовый 2 2 2" xfId="168"/>
    <cellStyle name="Финансовый 2 2 3" xfId="579"/>
    <cellStyle name="Финансовый 2 2 3 2" xfId="2193"/>
    <cellStyle name="Финансовый 2 2 3 2 2" xfId="3281"/>
    <cellStyle name="Финансовый 2 2 3 3" xfId="3275"/>
    <cellStyle name="Финансовый 2 2 4" xfId="3269"/>
    <cellStyle name="Финансовый 2 3" xfId="24"/>
    <cellStyle name="Финансовый 2 3 10" xfId="312"/>
    <cellStyle name="Финансовый 2 3 10 2" xfId="855"/>
    <cellStyle name="Финансовый 2 3 10 2 2" xfId="2469"/>
    <cellStyle name="Финансовый 2 3 10 3" xfId="1391"/>
    <cellStyle name="Финансовый 2 3 10 3 2" xfId="3005"/>
    <cellStyle name="Финансовый 2 3 10 4" xfId="1927"/>
    <cellStyle name="Финансовый 2 3 11" xfId="583"/>
    <cellStyle name="Финансовый 2 3 11 2" xfId="2197"/>
    <cellStyle name="Финансовый 2 3 12" xfId="1123"/>
    <cellStyle name="Финансовый 2 3 12 2" xfId="2737"/>
    <cellStyle name="Финансовый 2 3 13" xfId="1659"/>
    <cellStyle name="Финансовый 2 3 2" xfId="47"/>
    <cellStyle name="Финансовый 2 3 2 2" xfId="65"/>
    <cellStyle name="Финансовый 2 3 2 2 2" xfId="160"/>
    <cellStyle name="Финансовый 2 3 2 2 2 2" xfId="299"/>
    <cellStyle name="Финансовый 2 3 2 2 2 2 2" xfId="567"/>
    <cellStyle name="Финансовый 2 3 2 2 2 2 2 2" xfId="1110"/>
    <cellStyle name="Финансовый 2 3 2 2 2 2 2 2 2" xfId="2724"/>
    <cellStyle name="Финансовый 2 3 2 2 2 2 2 3" xfId="1646"/>
    <cellStyle name="Финансовый 2 3 2 2 2 2 2 3 2" xfId="3260"/>
    <cellStyle name="Финансовый 2 3 2 2 2 2 2 4" xfId="2182"/>
    <cellStyle name="Финансовый 2 3 2 2 2 2 3" xfId="842"/>
    <cellStyle name="Финансовый 2 3 2 2 2 2 3 2" xfId="2456"/>
    <cellStyle name="Финансовый 2 3 2 2 2 2 4" xfId="1378"/>
    <cellStyle name="Финансовый 2 3 2 2 2 2 4 2" xfId="2992"/>
    <cellStyle name="Финансовый 2 3 2 2 2 2 5" xfId="1914"/>
    <cellStyle name="Финансовый 2 3 2 2 2 3" xfId="435"/>
    <cellStyle name="Финансовый 2 3 2 2 2 3 2" xfId="978"/>
    <cellStyle name="Финансовый 2 3 2 2 2 3 2 2" xfId="2592"/>
    <cellStyle name="Финансовый 2 3 2 2 2 3 3" xfId="1514"/>
    <cellStyle name="Финансовый 2 3 2 2 2 3 3 2" xfId="3128"/>
    <cellStyle name="Финансовый 2 3 2 2 2 3 4" xfId="2050"/>
    <cellStyle name="Финансовый 2 3 2 2 2 4" xfId="710"/>
    <cellStyle name="Финансовый 2 3 2 2 2 4 2" xfId="2324"/>
    <cellStyle name="Финансовый 2 3 2 2 2 5" xfId="1246"/>
    <cellStyle name="Финансовый 2 3 2 2 2 5 2" xfId="2860"/>
    <cellStyle name="Финансовый 2 3 2 2 2 6" xfId="1782"/>
    <cellStyle name="Финансовый 2 3 2 2 3" xfId="112"/>
    <cellStyle name="Финансовый 2 3 2 2 3 2" xfId="254"/>
    <cellStyle name="Финансовый 2 3 2 2 3 2 2" xfId="523"/>
    <cellStyle name="Финансовый 2 3 2 2 3 2 2 2" xfId="1066"/>
    <cellStyle name="Финансовый 2 3 2 2 3 2 2 2 2" xfId="2680"/>
    <cellStyle name="Финансовый 2 3 2 2 3 2 2 3" xfId="1602"/>
    <cellStyle name="Финансовый 2 3 2 2 3 2 2 3 2" xfId="3216"/>
    <cellStyle name="Финансовый 2 3 2 2 3 2 2 4" xfId="2138"/>
    <cellStyle name="Финансовый 2 3 2 2 3 2 3" xfId="798"/>
    <cellStyle name="Финансовый 2 3 2 2 3 2 3 2" xfId="2412"/>
    <cellStyle name="Финансовый 2 3 2 2 3 2 4" xfId="1334"/>
    <cellStyle name="Финансовый 2 3 2 2 3 2 4 2" xfId="2948"/>
    <cellStyle name="Финансовый 2 3 2 2 3 2 5" xfId="1870"/>
    <cellStyle name="Финансовый 2 3 2 2 3 3" xfId="391"/>
    <cellStyle name="Финансовый 2 3 2 2 3 3 2" xfId="934"/>
    <cellStyle name="Финансовый 2 3 2 2 3 3 2 2" xfId="2548"/>
    <cellStyle name="Финансовый 2 3 2 2 3 3 3" xfId="1470"/>
    <cellStyle name="Финансовый 2 3 2 2 3 3 3 2" xfId="3084"/>
    <cellStyle name="Финансовый 2 3 2 2 3 3 4" xfId="2006"/>
    <cellStyle name="Финансовый 2 3 2 2 3 4" xfId="665"/>
    <cellStyle name="Финансовый 2 3 2 2 3 4 2" xfId="2279"/>
    <cellStyle name="Финансовый 2 3 2 2 3 5" xfId="1202"/>
    <cellStyle name="Финансовый 2 3 2 2 3 5 2" xfId="2816"/>
    <cellStyle name="Финансовый 2 3 2 2 3 6" xfId="1738"/>
    <cellStyle name="Финансовый 2 3 2 2 4" xfId="209"/>
    <cellStyle name="Финансовый 2 3 2 2 4 2" xfId="479"/>
    <cellStyle name="Финансовый 2 3 2 2 4 2 2" xfId="1022"/>
    <cellStyle name="Финансовый 2 3 2 2 4 2 2 2" xfId="2636"/>
    <cellStyle name="Финансовый 2 3 2 2 4 2 3" xfId="1558"/>
    <cellStyle name="Финансовый 2 3 2 2 4 2 3 2" xfId="3172"/>
    <cellStyle name="Финансовый 2 3 2 2 4 2 4" xfId="2094"/>
    <cellStyle name="Финансовый 2 3 2 2 4 3" xfId="754"/>
    <cellStyle name="Финансовый 2 3 2 2 4 3 2" xfId="2368"/>
    <cellStyle name="Финансовый 2 3 2 2 4 4" xfId="1290"/>
    <cellStyle name="Финансовый 2 3 2 2 4 4 2" xfId="2904"/>
    <cellStyle name="Финансовый 2 3 2 2 4 5" xfId="1826"/>
    <cellStyle name="Финансовый 2 3 2 2 5" xfId="347"/>
    <cellStyle name="Финансовый 2 3 2 2 5 2" xfId="890"/>
    <cellStyle name="Финансовый 2 3 2 2 5 2 2" xfId="2504"/>
    <cellStyle name="Финансовый 2 3 2 2 5 3" xfId="1426"/>
    <cellStyle name="Финансовый 2 3 2 2 5 3 2" xfId="3040"/>
    <cellStyle name="Финансовый 2 3 2 2 5 4" xfId="1962"/>
    <cellStyle name="Финансовый 2 3 2 2 6" xfId="620"/>
    <cellStyle name="Финансовый 2 3 2 2 6 2" xfId="2234"/>
    <cellStyle name="Финансовый 2 3 2 2 7" xfId="1158"/>
    <cellStyle name="Финансовый 2 3 2 2 7 2" xfId="2772"/>
    <cellStyle name="Финансовый 2 3 2 2 8" xfId="1694"/>
    <cellStyle name="Финансовый 2 3 2 3" xfId="142"/>
    <cellStyle name="Финансовый 2 3 2 3 2" xfId="281"/>
    <cellStyle name="Финансовый 2 3 2 3 2 2" xfId="549"/>
    <cellStyle name="Финансовый 2 3 2 3 2 2 2" xfId="1092"/>
    <cellStyle name="Финансовый 2 3 2 3 2 2 2 2" xfId="2706"/>
    <cellStyle name="Финансовый 2 3 2 3 2 2 3" xfId="1628"/>
    <cellStyle name="Финансовый 2 3 2 3 2 2 3 2" xfId="3242"/>
    <cellStyle name="Финансовый 2 3 2 3 2 2 4" xfId="2164"/>
    <cellStyle name="Финансовый 2 3 2 3 2 3" xfId="824"/>
    <cellStyle name="Финансовый 2 3 2 3 2 3 2" xfId="2438"/>
    <cellStyle name="Финансовый 2 3 2 3 2 4" xfId="1360"/>
    <cellStyle name="Финансовый 2 3 2 3 2 4 2" xfId="2974"/>
    <cellStyle name="Финансовый 2 3 2 3 2 5" xfId="1896"/>
    <cellStyle name="Финансовый 2 3 2 3 3" xfId="417"/>
    <cellStyle name="Финансовый 2 3 2 3 3 2" xfId="960"/>
    <cellStyle name="Финансовый 2 3 2 3 3 2 2" xfId="2574"/>
    <cellStyle name="Финансовый 2 3 2 3 3 3" xfId="1496"/>
    <cellStyle name="Финансовый 2 3 2 3 3 3 2" xfId="3110"/>
    <cellStyle name="Финансовый 2 3 2 3 3 4" xfId="2032"/>
    <cellStyle name="Финансовый 2 3 2 3 4" xfId="692"/>
    <cellStyle name="Финансовый 2 3 2 3 4 2" xfId="2306"/>
    <cellStyle name="Финансовый 2 3 2 3 5" xfId="1228"/>
    <cellStyle name="Финансовый 2 3 2 3 5 2" xfId="2842"/>
    <cellStyle name="Финансовый 2 3 2 3 6" xfId="1764"/>
    <cellStyle name="Финансовый 2 3 2 4" xfId="94"/>
    <cellStyle name="Финансовый 2 3 2 4 2" xfId="236"/>
    <cellStyle name="Финансовый 2 3 2 4 2 2" xfId="505"/>
    <cellStyle name="Финансовый 2 3 2 4 2 2 2" xfId="1048"/>
    <cellStyle name="Финансовый 2 3 2 4 2 2 2 2" xfId="2662"/>
    <cellStyle name="Финансовый 2 3 2 4 2 2 3" xfId="1584"/>
    <cellStyle name="Финансовый 2 3 2 4 2 2 3 2" xfId="3198"/>
    <cellStyle name="Финансовый 2 3 2 4 2 2 4" xfId="2120"/>
    <cellStyle name="Финансовый 2 3 2 4 2 3" xfId="780"/>
    <cellStyle name="Финансовый 2 3 2 4 2 3 2" xfId="2394"/>
    <cellStyle name="Финансовый 2 3 2 4 2 4" xfId="1316"/>
    <cellStyle name="Финансовый 2 3 2 4 2 4 2" xfId="2930"/>
    <cellStyle name="Финансовый 2 3 2 4 2 5" xfId="1852"/>
    <cellStyle name="Финансовый 2 3 2 4 3" xfId="373"/>
    <cellStyle name="Финансовый 2 3 2 4 3 2" xfId="916"/>
    <cellStyle name="Финансовый 2 3 2 4 3 2 2" xfId="2530"/>
    <cellStyle name="Финансовый 2 3 2 4 3 3" xfId="1452"/>
    <cellStyle name="Финансовый 2 3 2 4 3 3 2" xfId="3066"/>
    <cellStyle name="Финансовый 2 3 2 4 3 4" xfId="1988"/>
    <cellStyle name="Финансовый 2 3 2 4 4" xfId="647"/>
    <cellStyle name="Финансовый 2 3 2 4 4 2" xfId="2261"/>
    <cellStyle name="Финансовый 2 3 2 4 5" xfId="1184"/>
    <cellStyle name="Финансовый 2 3 2 4 5 2" xfId="2798"/>
    <cellStyle name="Финансовый 2 3 2 4 6" xfId="1720"/>
    <cellStyle name="Финансовый 2 3 2 5" xfId="191"/>
    <cellStyle name="Финансовый 2 3 2 5 2" xfId="461"/>
    <cellStyle name="Финансовый 2 3 2 5 2 2" xfId="1004"/>
    <cellStyle name="Финансовый 2 3 2 5 2 2 2" xfId="2618"/>
    <cellStyle name="Финансовый 2 3 2 5 2 3" xfId="1540"/>
    <cellStyle name="Финансовый 2 3 2 5 2 3 2" xfId="3154"/>
    <cellStyle name="Финансовый 2 3 2 5 2 4" xfId="2076"/>
    <cellStyle name="Финансовый 2 3 2 5 3" xfId="736"/>
    <cellStyle name="Финансовый 2 3 2 5 3 2" xfId="2350"/>
    <cellStyle name="Финансовый 2 3 2 5 4" xfId="1272"/>
    <cellStyle name="Финансовый 2 3 2 5 4 2" xfId="2886"/>
    <cellStyle name="Финансовый 2 3 2 5 5" xfId="1808"/>
    <cellStyle name="Финансовый 2 3 2 6" xfId="329"/>
    <cellStyle name="Финансовый 2 3 2 6 2" xfId="872"/>
    <cellStyle name="Финансовый 2 3 2 6 2 2" xfId="2486"/>
    <cellStyle name="Финансовый 2 3 2 6 3" xfId="1408"/>
    <cellStyle name="Финансовый 2 3 2 6 3 2" xfId="3022"/>
    <cellStyle name="Финансовый 2 3 2 6 4" xfId="1944"/>
    <cellStyle name="Финансовый 2 3 2 7" xfId="602"/>
    <cellStyle name="Финансовый 2 3 2 7 2" xfId="2216"/>
    <cellStyle name="Финансовый 2 3 2 8" xfId="1140"/>
    <cellStyle name="Финансовый 2 3 2 8 2" xfId="2754"/>
    <cellStyle name="Финансовый 2 3 2 9" xfId="1676"/>
    <cellStyle name="Финансовый 2 3 3" xfId="38"/>
    <cellStyle name="Финансовый 2 3 3 2" xfId="133"/>
    <cellStyle name="Финансовый 2 3 3 2 2" xfId="272"/>
    <cellStyle name="Финансовый 2 3 3 2 2 2" xfId="540"/>
    <cellStyle name="Финансовый 2 3 3 2 2 2 2" xfId="1083"/>
    <cellStyle name="Финансовый 2 3 3 2 2 2 2 2" xfId="2697"/>
    <cellStyle name="Финансовый 2 3 3 2 2 2 3" xfId="1619"/>
    <cellStyle name="Финансовый 2 3 3 2 2 2 3 2" xfId="3233"/>
    <cellStyle name="Финансовый 2 3 3 2 2 2 4" xfId="2155"/>
    <cellStyle name="Финансовый 2 3 3 2 2 3" xfId="815"/>
    <cellStyle name="Финансовый 2 3 3 2 2 3 2" xfId="2429"/>
    <cellStyle name="Финансовый 2 3 3 2 2 4" xfId="1351"/>
    <cellStyle name="Финансовый 2 3 3 2 2 4 2" xfId="2965"/>
    <cellStyle name="Финансовый 2 3 3 2 2 5" xfId="1887"/>
    <cellStyle name="Финансовый 2 3 3 2 3" xfId="408"/>
    <cellStyle name="Финансовый 2 3 3 2 3 2" xfId="951"/>
    <cellStyle name="Финансовый 2 3 3 2 3 2 2" xfId="2565"/>
    <cellStyle name="Финансовый 2 3 3 2 3 3" xfId="1487"/>
    <cellStyle name="Финансовый 2 3 3 2 3 3 2" xfId="3101"/>
    <cellStyle name="Финансовый 2 3 3 2 3 4" xfId="2023"/>
    <cellStyle name="Финансовый 2 3 3 2 4" xfId="683"/>
    <cellStyle name="Финансовый 2 3 3 2 4 2" xfId="2297"/>
    <cellStyle name="Финансовый 2 3 3 2 5" xfId="1219"/>
    <cellStyle name="Финансовый 2 3 3 2 5 2" xfId="2833"/>
    <cellStyle name="Финансовый 2 3 3 2 6" xfId="1755"/>
    <cellStyle name="Финансовый 2 3 3 3" xfId="85"/>
    <cellStyle name="Финансовый 2 3 3 3 2" xfId="227"/>
    <cellStyle name="Финансовый 2 3 3 3 2 2" xfId="496"/>
    <cellStyle name="Финансовый 2 3 3 3 2 2 2" xfId="1039"/>
    <cellStyle name="Финансовый 2 3 3 3 2 2 2 2" xfId="2653"/>
    <cellStyle name="Финансовый 2 3 3 3 2 2 3" xfId="1575"/>
    <cellStyle name="Финансовый 2 3 3 3 2 2 3 2" xfId="3189"/>
    <cellStyle name="Финансовый 2 3 3 3 2 2 4" xfId="2111"/>
    <cellStyle name="Финансовый 2 3 3 3 2 3" xfId="771"/>
    <cellStyle name="Финансовый 2 3 3 3 2 3 2" xfId="2385"/>
    <cellStyle name="Финансовый 2 3 3 3 2 4" xfId="1307"/>
    <cellStyle name="Финансовый 2 3 3 3 2 4 2" xfId="2921"/>
    <cellStyle name="Финансовый 2 3 3 3 2 5" xfId="1843"/>
    <cellStyle name="Финансовый 2 3 3 3 3" xfId="364"/>
    <cellStyle name="Финансовый 2 3 3 3 3 2" xfId="907"/>
    <cellStyle name="Финансовый 2 3 3 3 3 2 2" xfId="2521"/>
    <cellStyle name="Финансовый 2 3 3 3 3 3" xfId="1443"/>
    <cellStyle name="Финансовый 2 3 3 3 3 3 2" xfId="3057"/>
    <cellStyle name="Финансовый 2 3 3 3 3 4" xfId="1979"/>
    <cellStyle name="Финансовый 2 3 3 3 4" xfId="638"/>
    <cellStyle name="Финансовый 2 3 3 3 4 2" xfId="2252"/>
    <cellStyle name="Финансовый 2 3 3 3 5" xfId="1175"/>
    <cellStyle name="Финансовый 2 3 3 3 5 2" xfId="2789"/>
    <cellStyle name="Финансовый 2 3 3 3 6" xfId="1711"/>
    <cellStyle name="Финансовый 2 3 3 4" xfId="182"/>
    <cellStyle name="Финансовый 2 3 3 4 2" xfId="452"/>
    <cellStyle name="Финансовый 2 3 3 4 2 2" xfId="995"/>
    <cellStyle name="Финансовый 2 3 3 4 2 2 2" xfId="2609"/>
    <cellStyle name="Финансовый 2 3 3 4 2 3" xfId="1531"/>
    <cellStyle name="Финансовый 2 3 3 4 2 3 2" xfId="3145"/>
    <cellStyle name="Финансовый 2 3 3 4 2 4" xfId="2067"/>
    <cellStyle name="Финансовый 2 3 3 4 3" xfId="727"/>
    <cellStyle name="Финансовый 2 3 3 4 3 2" xfId="2341"/>
    <cellStyle name="Финансовый 2 3 3 4 4" xfId="1263"/>
    <cellStyle name="Финансовый 2 3 3 4 4 2" xfId="2877"/>
    <cellStyle name="Финансовый 2 3 3 4 5" xfId="1799"/>
    <cellStyle name="Финансовый 2 3 3 5" xfId="320"/>
    <cellStyle name="Финансовый 2 3 3 5 2" xfId="863"/>
    <cellStyle name="Финансовый 2 3 3 5 2 2" xfId="2477"/>
    <cellStyle name="Финансовый 2 3 3 5 3" xfId="1399"/>
    <cellStyle name="Финансовый 2 3 3 5 3 2" xfId="3013"/>
    <cellStyle name="Финансовый 2 3 3 5 4" xfId="1935"/>
    <cellStyle name="Финансовый 2 3 3 6" xfId="593"/>
    <cellStyle name="Финансовый 2 3 3 6 2" xfId="2207"/>
    <cellStyle name="Финансовый 2 3 3 7" xfId="1131"/>
    <cellStyle name="Финансовый 2 3 3 7 2" xfId="2745"/>
    <cellStyle name="Финансовый 2 3 3 8" xfId="1667"/>
    <cellStyle name="Финансовый 2 3 4" xfId="55"/>
    <cellStyle name="Финансовый 2 3 4 2" xfId="150"/>
    <cellStyle name="Финансовый 2 3 4 2 2" xfId="289"/>
    <cellStyle name="Финансовый 2 3 4 2 2 2" xfId="557"/>
    <cellStyle name="Финансовый 2 3 4 2 2 2 2" xfId="1100"/>
    <cellStyle name="Финансовый 2 3 4 2 2 2 2 2" xfId="2714"/>
    <cellStyle name="Финансовый 2 3 4 2 2 2 3" xfId="1636"/>
    <cellStyle name="Финансовый 2 3 4 2 2 2 3 2" xfId="3250"/>
    <cellStyle name="Финансовый 2 3 4 2 2 2 4" xfId="2172"/>
    <cellStyle name="Финансовый 2 3 4 2 2 3" xfId="832"/>
    <cellStyle name="Финансовый 2 3 4 2 2 3 2" xfId="2446"/>
    <cellStyle name="Финансовый 2 3 4 2 2 4" xfId="1368"/>
    <cellStyle name="Финансовый 2 3 4 2 2 4 2" xfId="2982"/>
    <cellStyle name="Финансовый 2 3 4 2 2 5" xfId="1904"/>
    <cellStyle name="Финансовый 2 3 4 2 3" xfId="425"/>
    <cellStyle name="Финансовый 2 3 4 2 3 2" xfId="968"/>
    <cellStyle name="Финансовый 2 3 4 2 3 2 2" xfId="2582"/>
    <cellStyle name="Финансовый 2 3 4 2 3 3" xfId="1504"/>
    <cellStyle name="Финансовый 2 3 4 2 3 3 2" xfId="3118"/>
    <cellStyle name="Финансовый 2 3 4 2 3 4" xfId="2040"/>
    <cellStyle name="Финансовый 2 3 4 2 4" xfId="700"/>
    <cellStyle name="Финансовый 2 3 4 2 4 2" xfId="2314"/>
    <cellStyle name="Финансовый 2 3 4 2 5" xfId="1236"/>
    <cellStyle name="Финансовый 2 3 4 2 5 2" xfId="2850"/>
    <cellStyle name="Финансовый 2 3 4 2 6" xfId="1772"/>
    <cellStyle name="Финансовый 2 3 4 3" xfId="102"/>
    <cellStyle name="Финансовый 2 3 4 3 2" xfId="244"/>
    <cellStyle name="Финансовый 2 3 4 3 2 2" xfId="513"/>
    <cellStyle name="Финансовый 2 3 4 3 2 2 2" xfId="1056"/>
    <cellStyle name="Финансовый 2 3 4 3 2 2 2 2" xfId="2670"/>
    <cellStyle name="Финансовый 2 3 4 3 2 2 3" xfId="1592"/>
    <cellStyle name="Финансовый 2 3 4 3 2 2 3 2" xfId="3206"/>
    <cellStyle name="Финансовый 2 3 4 3 2 2 4" xfId="2128"/>
    <cellStyle name="Финансовый 2 3 4 3 2 3" xfId="788"/>
    <cellStyle name="Финансовый 2 3 4 3 2 3 2" xfId="2402"/>
    <cellStyle name="Финансовый 2 3 4 3 2 4" xfId="1324"/>
    <cellStyle name="Финансовый 2 3 4 3 2 4 2" xfId="2938"/>
    <cellStyle name="Финансовый 2 3 4 3 2 5" xfId="1860"/>
    <cellStyle name="Финансовый 2 3 4 3 3" xfId="381"/>
    <cellStyle name="Финансовый 2 3 4 3 3 2" xfId="924"/>
    <cellStyle name="Финансовый 2 3 4 3 3 2 2" xfId="2538"/>
    <cellStyle name="Финансовый 2 3 4 3 3 3" xfId="1460"/>
    <cellStyle name="Финансовый 2 3 4 3 3 3 2" xfId="3074"/>
    <cellStyle name="Финансовый 2 3 4 3 3 4" xfId="1996"/>
    <cellStyle name="Финансовый 2 3 4 3 4" xfId="655"/>
    <cellStyle name="Финансовый 2 3 4 3 4 2" xfId="2269"/>
    <cellStyle name="Финансовый 2 3 4 3 5" xfId="1192"/>
    <cellStyle name="Финансовый 2 3 4 3 5 2" xfId="2806"/>
    <cellStyle name="Финансовый 2 3 4 3 6" xfId="1728"/>
    <cellStyle name="Финансовый 2 3 4 4" xfId="199"/>
    <cellStyle name="Финансовый 2 3 4 4 2" xfId="469"/>
    <cellStyle name="Финансовый 2 3 4 4 2 2" xfId="1012"/>
    <cellStyle name="Финансовый 2 3 4 4 2 2 2" xfId="2626"/>
    <cellStyle name="Финансовый 2 3 4 4 2 3" xfId="1548"/>
    <cellStyle name="Финансовый 2 3 4 4 2 3 2" xfId="3162"/>
    <cellStyle name="Финансовый 2 3 4 4 2 4" xfId="2084"/>
    <cellStyle name="Финансовый 2 3 4 4 3" xfId="744"/>
    <cellStyle name="Финансовый 2 3 4 4 3 2" xfId="2358"/>
    <cellStyle name="Финансовый 2 3 4 4 4" xfId="1280"/>
    <cellStyle name="Финансовый 2 3 4 4 4 2" xfId="2894"/>
    <cellStyle name="Финансовый 2 3 4 4 5" xfId="1816"/>
    <cellStyle name="Финансовый 2 3 4 5" xfId="337"/>
    <cellStyle name="Финансовый 2 3 4 5 2" xfId="880"/>
    <cellStyle name="Финансовый 2 3 4 5 2 2" xfId="2494"/>
    <cellStyle name="Финансовый 2 3 4 5 3" xfId="1416"/>
    <cellStyle name="Финансовый 2 3 4 5 3 2" xfId="3030"/>
    <cellStyle name="Финансовый 2 3 4 5 4" xfId="1952"/>
    <cellStyle name="Финансовый 2 3 4 6" xfId="610"/>
    <cellStyle name="Финансовый 2 3 4 6 2" xfId="2224"/>
    <cellStyle name="Финансовый 2 3 4 7" xfId="1148"/>
    <cellStyle name="Финансовый 2 3 4 7 2" xfId="2762"/>
    <cellStyle name="Финансовый 2 3 4 8" xfId="1684"/>
    <cellStyle name="Финансовый 2 3 5" xfId="122"/>
    <cellStyle name="Финансовый 2 3 5 2" xfId="263"/>
    <cellStyle name="Финансовый 2 3 5 2 2" xfId="532"/>
    <cellStyle name="Финансовый 2 3 5 2 2 2" xfId="1075"/>
    <cellStyle name="Финансовый 2 3 5 2 2 2 2" xfId="2689"/>
    <cellStyle name="Финансовый 2 3 5 2 2 3" xfId="1611"/>
    <cellStyle name="Финансовый 2 3 5 2 2 3 2" xfId="3225"/>
    <cellStyle name="Финансовый 2 3 5 2 2 4" xfId="2147"/>
    <cellStyle name="Финансовый 2 3 5 2 3" xfId="807"/>
    <cellStyle name="Финансовый 2 3 5 2 3 2" xfId="2421"/>
    <cellStyle name="Финансовый 2 3 5 2 4" xfId="1343"/>
    <cellStyle name="Финансовый 2 3 5 2 4 2" xfId="2957"/>
    <cellStyle name="Финансовый 2 3 5 2 5" xfId="1879"/>
    <cellStyle name="Финансовый 2 3 5 3" xfId="400"/>
    <cellStyle name="Финансовый 2 3 5 3 2" xfId="943"/>
    <cellStyle name="Финансовый 2 3 5 3 2 2" xfId="2557"/>
    <cellStyle name="Финансовый 2 3 5 3 3" xfId="1479"/>
    <cellStyle name="Финансовый 2 3 5 3 3 2" xfId="3093"/>
    <cellStyle name="Финансовый 2 3 5 3 4" xfId="2015"/>
    <cellStyle name="Финансовый 2 3 5 4" xfId="674"/>
    <cellStyle name="Финансовый 2 3 5 4 2" xfId="2288"/>
    <cellStyle name="Финансовый 2 3 5 5" xfId="1211"/>
    <cellStyle name="Финансовый 2 3 5 5 2" xfId="2825"/>
    <cellStyle name="Финансовый 2 3 5 6" xfId="1747"/>
    <cellStyle name="Финансовый 2 3 6" xfId="74"/>
    <cellStyle name="Финансовый 2 3 6 2" xfId="218"/>
    <cellStyle name="Финансовый 2 3 6 2 2" xfId="488"/>
    <cellStyle name="Финансовый 2 3 6 2 2 2" xfId="1031"/>
    <cellStyle name="Финансовый 2 3 6 2 2 2 2" xfId="2645"/>
    <cellStyle name="Финансовый 2 3 6 2 2 3" xfId="1567"/>
    <cellStyle name="Финансовый 2 3 6 2 2 3 2" xfId="3181"/>
    <cellStyle name="Финансовый 2 3 6 2 2 4" xfId="2103"/>
    <cellStyle name="Финансовый 2 3 6 2 3" xfId="763"/>
    <cellStyle name="Финансовый 2 3 6 2 3 2" xfId="2377"/>
    <cellStyle name="Финансовый 2 3 6 2 4" xfId="1299"/>
    <cellStyle name="Финансовый 2 3 6 2 4 2" xfId="2913"/>
    <cellStyle name="Финансовый 2 3 6 2 5" xfId="1835"/>
    <cellStyle name="Финансовый 2 3 6 3" xfId="356"/>
    <cellStyle name="Финансовый 2 3 6 3 2" xfId="899"/>
    <cellStyle name="Финансовый 2 3 6 3 2 2" xfId="2513"/>
    <cellStyle name="Финансовый 2 3 6 3 3" xfId="1435"/>
    <cellStyle name="Финансовый 2 3 6 3 3 2" xfId="3049"/>
    <cellStyle name="Финансовый 2 3 6 3 4" xfId="1971"/>
    <cellStyle name="Финансовый 2 3 6 4" xfId="629"/>
    <cellStyle name="Финансовый 2 3 6 4 2" xfId="2243"/>
    <cellStyle name="Финансовый 2 3 6 5" xfId="1167"/>
    <cellStyle name="Финансовый 2 3 6 5 2" xfId="2781"/>
    <cellStyle name="Финансовый 2 3 6 6" xfId="1703"/>
    <cellStyle name="Финансовый 2 3 7" xfId="172"/>
    <cellStyle name="Финансовый 2 3 7 2" xfId="444"/>
    <cellStyle name="Финансовый 2 3 7 2 2" xfId="987"/>
    <cellStyle name="Финансовый 2 3 7 2 2 2" xfId="2601"/>
    <cellStyle name="Финансовый 2 3 7 2 3" xfId="1523"/>
    <cellStyle name="Финансовый 2 3 7 2 3 2" xfId="3137"/>
    <cellStyle name="Финансовый 2 3 7 2 4" xfId="2059"/>
    <cellStyle name="Финансовый 2 3 7 3" xfId="719"/>
    <cellStyle name="Финансовый 2 3 7 3 2" xfId="2333"/>
    <cellStyle name="Финансовый 2 3 7 4" xfId="1255"/>
    <cellStyle name="Финансовый 2 3 7 4 2" xfId="2869"/>
    <cellStyle name="Финансовый 2 3 7 5" xfId="1791"/>
    <cellStyle name="Финансовый 2 3 8" xfId="303"/>
    <cellStyle name="Финансовый 2 3 8 2" xfId="571"/>
    <cellStyle name="Финансовый 2 3 8 2 2" xfId="1114"/>
    <cellStyle name="Финансовый 2 3 8 2 2 2" xfId="2728"/>
    <cellStyle name="Финансовый 2 3 8 2 3" xfId="1650"/>
    <cellStyle name="Финансовый 2 3 8 2 3 2" xfId="3264"/>
    <cellStyle name="Финансовый 2 3 8 2 4" xfId="2186"/>
    <cellStyle name="Финансовый 2 3 8 3" xfId="846"/>
    <cellStyle name="Финансовый 2 3 8 3 2" xfId="2460"/>
    <cellStyle name="Финансовый 2 3 8 4" xfId="1382"/>
    <cellStyle name="Финансовый 2 3 8 4 2" xfId="2996"/>
    <cellStyle name="Финансовый 2 3 8 5" xfId="1918"/>
    <cellStyle name="Финансовый 2 3 9" xfId="305"/>
    <cellStyle name="Финансовый 2 3 9 2" xfId="573"/>
    <cellStyle name="Финансовый 2 3 9 2 2" xfId="1116"/>
    <cellStyle name="Финансовый 2 3 9 2 2 2" xfId="2730"/>
    <cellStyle name="Финансовый 2 3 9 2 3" xfId="1652"/>
    <cellStyle name="Финансовый 2 3 9 2 3 2" xfId="3266"/>
    <cellStyle name="Финансовый 2 3 9 2 4" xfId="2188"/>
    <cellStyle name="Финансовый 2 3 9 3" xfId="848"/>
    <cellStyle name="Финансовый 2 3 9 3 2" xfId="2462"/>
    <cellStyle name="Финансовый 2 3 9 4" xfId="1384"/>
    <cellStyle name="Финансовый 2 3 9 4 2" xfId="2998"/>
    <cellStyle name="Финансовый 2 3 9 5" xfId="1920"/>
    <cellStyle name="Финансовый 2 4" xfId="42"/>
    <cellStyle name="Финансовый 2 4 2" xfId="60"/>
    <cellStyle name="Финансовый 2 4 2 2" xfId="155"/>
    <cellStyle name="Финансовый 2 4 2 2 2" xfId="294"/>
    <cellStyle name="Финансовый 2 4 2 2 2 2" xfId="562"/>
    <cellStyle name="Финансовый 2 4 2 2 2 2 2" xfId="1105"/>
    <cellStyle name="Финансовый 2 4 2 2 2 2 2 2" xfId="2719"/>
    <cellStyle name="Финансовый 2 4 2 2 2 2 3" xfId="1641"/>
    <cellStyle name="Финансовый 2 4 2 2 2 2 3 2" xfId="3255"/>
    <cellStyle name="Финансовый 2 4 2 2 2 2 4" xfId="2177"/>
    <cellStyle name="Финансовый 2 4 2 2 2 3" xfId="837"/>
    <cellStyle name="Финансовый 2 4 2 2 2 3 2" xfId="2451"/>
    <cellStyle name="Финансовый 2 4 2 2 2 4" xfId="1373"/>
    <cellStyle name="Финансовый 2 4 2 2 2 4 2" xfId="2987"/>
    <cellStyle name="Финансовый 2 4 2 2 2 5" xfId="1909"/>
    <cellStyle name="Финансовый 2 4 2 2 3" xfId="430"/>
    <cellStyle name="Финансовый 2 4 2 2 3 2" xfId="973"/>
    <cellStyle name="Финансовый 2 4 2 2 3 2 2" xfId="2587"/>
    <cellStyle name="Финансовый 2 4 2 2 3 3" xfId="1509"/>
    <cellStyle name="Финансовый 2 4 2 2 3 3 2" xfId="3123"/>
    <cellStyle name="Финансовый 2 4 2 2 3 4" xfId="2045"/>
    <cellStyle name="Финансовый 2 4 2 2 4" xfId="705"/>
    <cellStyle name="Финансовый 2 4 2 2 4 2" xfId="2319"/>
    <cellStyle name="Финансовый 2 4 2 2 5" xfId="1241"/>
    <cellStyle name="Финансовый 2 4 2 2 5 2" xfId="2855"/>
    <cellStyle name="Финансовый 2 4 2 2 6" xfId="1777"/>
    <cellStyle name="Финансовый 2 4 2 3" xfId="107"/>
    <cellStyle name="Финансовый 2 4 2 3 2" xfId="249"/>
    <cellStyle name="Финансовый 2 4 2 3 2 2" xfId="518"/>
    <cellStyle name="Финансовый 2 4 2 3 2 2 2" xfId="1061"/>
    <cellStyle name="Финансовый 2 4 2 3 2 2 2 2" xfId="2675"/>
    <cellStyle name="Финансовый 2 4 2 3 2 2 3" xfId="1597"/>
    <cellStyle name="Финансовый 2 4 2 3 2 2 3 2" xfId="3211"/>
    <cellStyle name="Финансовый 2 4 2 3 2 2 4" xfId="2133"/>
    <cellStyle name="Финансовый 2 4 2 3 2 3" xfId="793"/>
    <cellStyle name="Финансовый 2 4 2 3 2 3 2" xfId="2407"/>
    <cellStyle name="Финансовый 2 4 2 3 2 4" xfId="1329"/>
    <cellStyle name="Финансовый 2 4 2 3 2 4 2" xfId="2943"/>
    <cellStyle name="Финансовый 2 4 2 3 2 5" xfId="1865"/>
    <cellStyle name="Финансовый 2 4 2 3 3" xfId="386"/>
    <cellStyle name="Финансовый 2 4 2 3 3 2" xfId="929"/>
    <cellStyle name="Финансовый 2 4 2 3 3 2 2" xfId="2543"/>
    <cellStyle name="Финансовый 2 4 2 3 3 3" xfId="1465"/>
    <cellStyle name="Финансовый 2 4 2 3 3 3 2" xfId="3079"/>
    <cellStyle name="Финансовый 2 4 2 3 3 4" xfId="2001"/>
    <cellStyle name="Финансовый 2 4 2 3 4" xfId="660"/>
    <cellStyle name="Финансовый 2 4 2 3 4 2" xfId="2274"/>
    <cellStyle name="Финансовый 2 4 2 3 5" xfId="1197"/>
    <cellStyle name="Финансовый 2 4 2 3 5 2" xfId="2811"/>
    <cellStyle name="Финансовый 2 4 2 3 6" xfId="1733"/>
    <cellStyle name="Финансовый 2 4 2 4" xfId="204"/>
    <cellStyle name="Финансовый 2 4 2 4 2" xfId="474"/>
    <cellStyle name="Финансовый 2 4 2 4 2 2" xfId="1017"/>
    <cellStyle name="Финансовый 2 4 2 4 2 2 2" xfId="2631"/>
    <cellStyle name="Финансовый 2 4 2 4 2 3" xfId="1553"/>
    <cellStyle name="Финансовый 2 4 2 4 2 3 2" xfId="3167"/>
    <cellStyle name="Финансовый 2 4 2 4 2 4" xfId="2089"/>
    <cellStyle name="Финансовый 2 4 2 4 3" xfId="749"/>
    <cellStyle name="Финансовый 2 4 2 4 3 2" xfId="2363"/>
    <cellStyle name="Финансовый 2 4 2 4 4" xfId="1285"/>
    <cellStyle name="Финансовый 2 4 2 4 4 2" xfId="2899"/>
    <cellStyle name="Финансовый 2 4 2 4 5" xfId="1821"/>
    <cellStyle name="Финансовый 2 4 2 5" xfId="342"/>
    <cellStyle name="Финансовый 2 4 2 5 2" xfId="885"/>
    <cellStyle name="Финансовый 2 4 2 5 2 2" xfId="2499"/>
    <cellStyle name="Финансовый 2 4 2 5 3" xfId="1421"/>
    <cellStyle name="Финансовый 2 4 2 5 3 2" xfId="3035"/>
    <cellStyle name="Финансовый 2 4 2 5 4" xfId="1957"/>
    <cellStyle name="Финансовый 2 4 2 6" xfId="615"/>
    <cellStyle name="Финансовый 2 4 2 6 2" xfId="2229"/>
    <cellStyle name="Финансовый 2 4 2 7" xfId="1153"/>
    <cellStyle name="Финансовый 2 4 2 7 2" xfId="2767"/>
    <cellStyle name="Финансовый 2 4 2 8" xfId="1689"/>
    <cellStyle name="Финансовый 2 4 3" xfId="137"/>
    <cellStyle name="Финансовый 2 4 3 2" xfId="276"/>
    <cellStyle name="Финансовый 2 4 3 2 2" xfId="544"/>
    <cellStyle name="Финансовый 2 4 3 2 2 2" xfId="1087"/>
    <cellStyle name="Финансовый 2 4 3 2 2 2 2" xfId="2701"/>
    <cellStyle name="Финансовый 2 4 3 2 2 3" xfId="1623"/>
    <cellStyle name="Финансовый 2 4 3 2 2 3 2" xfId="3237"/>
    <cellStyle name="Финансовый 2 4 3 2 2 4" xfId="2159"/>
    <cellStyle name="Финансовый 2 4 3 2 3" xfId="819"/>
    <cellStyle name="Финансовый 2 4 3 2 3 2" xfId="2433"/>
    <cellStyle name="Финансовый 2 4 3 2 4" xfId="1355"/>
    <cellStyle name="Финансовый 2 4 3 2 4 2" xfId="2969"/>
    <cellStyle name="Финансовый 2 4 3 2 5" xfId="1891"/>
    <cellStyle name="Финансовый 2 4 3 3" xfId="412"/>
    <cellStyle name="Финансовый 2 4 3 3 2" xfId="955"/>
    <cellStyle name="Финансовый 2 4 3 3 2 2" xfId="2569"/>
    <cellStyle name="Финансовый 2 4 3 3 3" xfId="1491"/>
    <cellStyle name="Финансовый 2 4 3 3 3 2" xfId="3105"/>
    <cellStyle name="Финансовый 2 4 3 3 4" xfId="2027"/>
    <cellStyle name="Финансовый 2 4 3 4" xfId="687"/>
    <cellStyle name="Финансовый 2 4 3 4 2" xfId="2301"/>
    <cellStyle name="Финансовый 2 4 3 5" xfId="1223"/>
    <cellStyle name="Финансовый 2 4 3 5 2" xfId="2837"/>
    <cellStyle name="Финансовый 2 4 3 6" xfId="1759"/>
    <cellStyle name="Финансовый 2 4 4" xfId="89"/>
    <cellStyle name="Финансовый 2 4 4 2" xfId="231"/>
    <cellStyle name="Финансовый 2 4 4 2 2" xfId="500"/>
    <cellStyle name="Финансовый 2 4 4 2 2 2" xfId="1043"/>
    <cellStyle name="Финансовый 2 4 4 2 2 2 2" xfId="2657"/>
    <cellStyle name="Финансовый 2 4 4 2 2 3" xfId="1579"/>
    <cellStyle name="Финансовый 2 4 4 2 2 3 2" xfId="3193"/>
    <cellStyle name="Финансовый 2 4 4 2 2 4" xfId="2115"/>
    <cellStyle name="Финансовый 2 4 4 2 3" xfId="775"/>
    <cellStyle name="Финансовый 2 4 4 2 3 2" xfId="2389"/>
    <cellStyle name="Финансовый 2 4 4 2 4" xfId="1311"/>
    <cellStyle name="Финансовый 2 4 4 2 4 2" xfId="2925"/>
    <cellStyle name="Финансовый 2 4 4 2 5" xfId="1847"/>
    <cellStyle name="Финансовый 2 4 4 3" xfId="368"/>
    <cellStyle name="Финансовый 2 4 4 3 2" xfId="911"/>
    <cellStyle name="Финансовый 2 4 4 3 2 2" xfId="2525"/>
    <cellStyle name="Финансовый 2 4 4 3 3" xfId="1447"/>
    <cellStyle name="Финансовый 2 4 4 3 3 2" xfId="3061"/>
    <cellStyle name="Финансовый 2 4 4 3 4" xfId="1983"/>
    <cellStyle name="Финансовый 2 4 4 4" xfId="642"/>
    <cellStyle name="Финансовый 2 4 4 4 2" xfId="2256"/>
    <cellStyle name="Финансовый 2 4 4 5" xfId="1179"/>
    <cellStyle name="Финансовый 2 4 4 5 2" xfId="2793"/>
    <cellStyle name="Финансовый 2 4 4 6" xfId="1715"/>
    <cellStyle name="Финансовый 2 4 5" xfId="186"/>
    <cellStyle name="Финансовый 2 4 5 2" xfId="456"/>
    <cellStyle name="Финансовый 2 4 5 2 2" xfId="999"/>
    <cellStyle name="Финансовый 2 4 5 2 2 2" xfId="2613"/>
    <cellStyle name="Финансовый 2 4 5 2 3" xfId="1535"/>
    <cellStyle name="Финансовый 2 4 5 2 3 2" xfId="3149"/>
    <cellStyle name="Финансовый 2 4 5 2 4" xfId="2071"/>
    <cellStyle name="Финансовый 2 4 5 3" xfId="731"/>
    <cellStyle name="Финансовый 2 4 5 3 2" xfId="2345"/>
    <cellStyle name="Финансовый 2 4 5 4" xfId="1267"/>
    <cellStyle name="Финансовый 2 4 5 4 2" xfId="2881"/>
    <cellStyle name="Финансовый 2 4 5 5" xfId="1803"/>
    <cellStyle name="Финансовый 2 4 6" xfId="324"/>
    <cellStyle name="Финансовый 2 4 6 2" xfId="867"/>
    <cellStyle name="Финансовый 2 4 6 2 2" xfId="2481"/>
    <cellStyle name="Финансовый 2 4 6 3" xfId="1403"/>
    <cellStyle name="Финансовый 2 4 6 3 2" xfId="3017"/>
    <cellStyle name="Финансовый 2 4 6 4" xfId="1939"/>
    <cellStyle name="Финансовый 2 4 7" xfId="597"/>
    <cellStyle name="Финансовый 2 4 7 2" xfId="2211"/>
    <cellStyle name="Финансовый 2 4 8" xfId="1135"/>
    <cellStyle name="Финансовый 2 4 8 2" xfId="2749"/>
    <cellStyle name="Финансовый 2 4 9" xfId="1671"/>
    <cellStyle name="Финансовый 2 5" xfId="31"/>
    <cellStyle name="Финансовый 2 5 2" xfId="126"/>
    <cellStyle name="Финансовый 2 5 2 2" xfId="267"/>
    <cellStyle name="Финансовый 2 5 2 2 2" xfId="536"/>
    <cellStyle name="Финансовый 2 5 2 2 2 2" xfId="1079"/>
    <cellStyle name="Финансовый 2 5 2 2 2 2 2" xfId="2693"/>
    <cellStyle name="Финансовый 2 5 2 2 2 3" xfId="1615"/>
    <cellStyle name="Финансовый 2 5 2 2 2 3 2" xfId="3229"/>
    <cellStyle name="Финансовый 2 5 2 2 2 4" xfId="2151"/>
    <cellStyle name="Финансовый 2 5 2 2 3" xfId="811"/>
    <cellStyle name="Финансовый 2 5 2 2 3 2" xfId="2425"/>
    <cellStyle name="Финансовый 2 5 2 2 4" xfId="1347"/>
    <cellStyle name="Финансовый 2 5 2 2 4 2" xfId="2961"/>
    <cellStyle name="Финансовый 2 5 2 2 5" xfId="1883"/>
    <cellStyle name="Финансовый 2 5 2 3" xfId="404"/>
    <cellStyle name="Финансовый 2 5 2 3 2" xfId="947"/>
    <cellStyle name="Финансовый 2 5 2 3 2 2" xfId="2561"/>
    <cellStyle name="Финансовый 2 5 2 3 3" xfId="1483"/>
    <cellStyle name="Финансовый 2 5 2 3 3 2" xfId="3097"/>
    <cellStyle name="Финансовый 2 5 2 3 4" xfId="2019"/>
    <cellStyle name="Финансовый 2 5 2 4" xfId="678"/>
    <cellStyle name="Финансовый 2 5 2 4 2" xfId="2292"/>
    <cellStyle name="Финансовый 2 5 2 5" xfId="1215"/>
    <cellStyle name="Финансовый 2 5 2 5 2" xfId="2829"/>
    <cellStyle name="Финансовый 2 5 2 6" xfId="1751"/>
    <cellStyle name="Финансовый 2 5 3" xfId="78"/>
    <cellStyle name="Финансовый 2 5 3 2" xfId="222"/>
    <cellStyle name="Финансовый 2 5 3 2 2" xfId="492"/>
    <cellStyle name="Финансовый 2 5 3 2 2 2" xfId="1035"/>
    <cellStyle name="Финансовый 2 5 3 2 2 2 2" xfId="2649"/>
    <cellStyle name="Финансовый 2 5 3 2 2 3" xfId="1571"/>
    <cellStyle name="Финансовый 2 5 3 2 2 3 2" xfId="3185"/>
    <cellStyle name="Финансовый 2 5 3 2 2 4" xfId="2107"/>
    <cellStyle name="Финансовый 2 5 3 2 3" xfId="767"/>
    <cellStyle name="Финансовый 2 5 3 2 3 2" xfId="2381"/>
    <cellStyle name="Финансовый 2 5 3 2 4" xfId="1303"/>
    <cellStyle name="Финансовый 2 5 3 2 4 2" xfId="2917"/>
    <cellStyle name="Финансовый 2 5 3 2 5" xfId="1839"/>
    <cellStyle name="Финансовый 2 5 3 3" xfId="360"/>
    <cellStyle name="Финансовый 2 5 3 3 2" xfId="903"/>
    <cellStyle name="Финансовый 2 5 3 3 2 2" xfId="2517"/>
    <cellStyle name="Финансовый 2 5 3 3 3" xfId="1439"/>
    <cellStyle name="Финансовый 2 5 3 3 3 2" xfId="3053"/>
    <cellStyle name="Финансовый 2 5 3 3 4" xfId="1975"/>
    <cellStyle name="Финансовый 2 5 3 4" xfId="633"/>
    <cellStyle name="Финансовый 2 5 3 4 2" xfId="2247"/>
    <cellStyle name="Финансовый 2 5 3 5" xfId="1171"/>
    <cellStyle name="Финансовый 2 5 3 5 2" xfId="2785"/>
    <cellStyle name="Финансовый 2 5 3 6" xfId="1707"/>
    <cellStyle name="Финансовый 2 5 4" xfId="177"/>
    <cellStyle name="Финансовый 2 5 4 2" xfId="448"/>
    <cellStyle name="Финансовый 2 5 4 2 2" xfId="991"/>
    <cellStyle name="Финансовый 2 5 4 2 2 2" xfId="2605"/>
    <cellStyle name="Финансовый 2 5 4 2 3" xfId="1527"/>
    <cellStyle name="Финансовый 2 5 4 2 3 2" xfId="3141"/>
    <cellStyle name="Финансовый 2 5 4 2 4" xfId="2063"/>
    <cellStyle name="Финансовый 2 5 4 3" xfId="723"/>
    <cellStyle name="Финансовый 2 5 4 3 2" xfId="2337"/>
    <cellStyle name="Финансовый 2 5 4 4" xfId="1259"/>
    <cellStyle name="Финансовый 2 5 4 4 2" xfId="2873"/>
    <cellStyle name="Финансовый 2 5 4 5" xfId="1795"/>
    <cellStyle name="Финансовый 2 5 5" xfId="316"/>
    <cellStyle name="Финансовый 2 5 5 2" xfId="859"/>
    <cellStyle name="Финансовый 2 5 5 2 2" xfId="2473"/>
    <cellStyle name="Финансовый 2 5 5 3" xfId="1395"/>
    <cellStyle name="Финансовый 2 5 5 3 2" xfId="3009"/>
    <cellStyle name="Финансовый 2 5 5 4" xfId="1931"/>
    <cellStyle name="Финансовый 2 5 6" xfId="588"/>
    <cellStyle name="Финансовый 2 5 6 2" xfId="2202"/>
    <cellStyle name="Финансовый 2 5 7" xfId="1127"/>
    <cellStyle name="Финансовый 2 5 7 2" xfId="2741"/>
    <cellStyle name="Финансовый 2 5 8" xfId="1663"/>
    <cellStyle name="Финансовый 2 6" xfId="51"/>
    <cellStyle name="Финансовый 2 6 2" xfId="146"/>
    <cellStyle name="Финансовый 2 6 2 2" xfId="285"/>
    <cellStyle name="Финансовый 2 6 2 2 2" xfId="553"/>
    <cellStyle name="Финансовый 2 6 2 2 2 2" xfId="1096"/>
    <cellStyle name="Финансовый 2 6 2 2 2 2 2" xfId="2710"/>
    <cellStyle name="Финансовый 2 6 2 2 2 3" xfId="1632"/>
    <cellStyle name="Финансовый 2 6 2 2 2 3 2" xfId="3246"/>
    <cellStyle name="Финансовый 2 6 2 2 2 4" xfId="2168"/>
    <cellStyle name="Финансовый 2 6 2 2 3" xfId="828"/>
    <cellStyle name="Финансовый 2 6 2 2 3 2" xfId="2442"/>
    <cellStyle name="Финансовый 2 6 2 2 4" xfId="1364"/>
    <cellStyle name="Финансовый 2 6 2 2 4 2" xfId="2978"/>
    <cellStyle name="Финансовый 2 6 2 2 5" xfId="1900"/>
    <cellStyle name="Финансовый 2 6 2 3" xfId="421"/>
    <cellStyle name="Финансовый 2 6 2 3 2" xfId="964"/>
    <cellStyle name="Финансовый 2 6 2 3 2 2" xfId="2578"/>
    <cellStyle name="Финансовый 2 6 2 3 3" xfId="1500"/>
    <cellStyle name="Финансовый 2 6 2 3 3 2" xfId="3114"/>
    <cellStyle name="Финансовый 2 6 2 3 4" xfId="2036"/>
    <cellStyle name="Финансовый 2 6 2 4" xfId="696"/>
    <cellStyle name="Финансовый 2 6 2 4 2" xfId="2310"/>
    <cellStyle name="Финансовый 2 6 2 5" xfId="1232"/>
    <cellStyle name="Финансовый 2 6 2 5 2" xfId="2846"/>
    <cellStyle name="Финансовый 2 6 2 6" xfId="1768"/>
    <cellStyle name="Финансовый 2 6 3" xfId="98"/>
    <cellStyle name="Финансовый 2 6 3 2" xfId="240"/>
    <cellStyle name="Финансовый 2 6 3 2 2" xfId="509"/>
    <cellStyle name="Финансовый 2 6 3 2 2 2" xfId="1052"/>
    <cellStyle name="Финансовый 2 6 3 2 2 2 2" xfId="2666"/>
    <cellStyle name="Финансовый 2 6 3 2 2 3" xfId="1588"/>
    <cellStyle name="Финансовый 2 6 3 2 2 3 2" xfId="3202"/>
    <cellStyle name="Финансовый 2 6 3 2 2 4" xfId="2124"/>
    <cellStyle name="Финансовый 2 6 3 2 3" xfId="784"/>
    <cellStyle name="Финансовый 2 6 3 2 3 2" xfId="2398"/>
    <cellStyle name="Финансовый 2 6 3 2 4" xfId="1320"/>
    <cellStyle name="Финансовый 2 6 3 2 4 2" xfId="2934"/>
    <cellStyle name="Финансовый 2 6 3 2 5" xfId="1856"/>
    <cellStyle name="Финансовый 2 6 3 3" xfId="377"/>
    <cellStyle name="Финансовый 2 6 3 3 2" xfId="920"/>
    <cellStyle name="Финансовый 2 6 3 3 2 2" xfId="2534"/>
    <cellStyle name="Финансовый 2 6 3 3 3" xfId="1456"/>
    <cellStyle name="Финансовый 2 6 3 3 3 2" xfId="3070"/>
    <cellStyle name="Финансовый 2 6 3 3 4" xfId="1992"/>
    <cellStyle name="Финансовый 2 6 3 4" xfId="651"/>
    <cellStyle name="Финансовый 2 6 3 4 2" xfId="2265"/>
    <cellStyle name="Финансовый 2 6 3 5" xfId="1188"/>
    <cellStyle name="Финансовый 2 6 3 5 2" xfId="2802"/>
    <cellStyle name="Финансовый 2 6 3 6" xfId="1724"/>
    <cellStyle name="Финансовый 2 6 4" xfId="195"/>
    <cellStyle name="Финансовый 2 6 4 2" xfId="465"/>
    <cellStyle name="Финансовый 2 6 4 2 2" xfId="1008"/>
    <cellStyle name="Финансовый 2 6 4 2 2 2" xfId="2622"/>
    <cellStyle name="Финансовый 2 6 4 2 3" xfId="1544"/>
    <cellStyle name="Финансовый 2 6 4 2 3 2" xfId="3158"/>
    <cellStyle name="Финансовый 2 6 4 2 4" xfId="2080"/>
    <cellStyle name="Финансовый 2 6 4 3" xfId="740"/>
    <cellStyle name="Финансовый 2 6 4 3 2" xfId="2354"/>
    <cellStyle name="Финансовый 2 6 4 4" xfId="1276"/>
    <cellStyle name="Финансовый 2 6 4 4 2" xfId="2890"/>
    <cellStyle name="Финансовый 2 6 4 5" xfId="1812"/>
    <cellStyle name="Финансовый 2 6 5" xfId="333"/>
    <cellStyle name="Финансовый 2 6 5 2" xfId="876"/>
    <cellStyle name="Финансовый 2 6 5 2 2" xfId="2490"/>
    <cellStyle name="Финансовый 2 6 5 3" xfId="1412"/>
    <cellStyle name="Финансовый 2 6 5 3 2" xfId="3026"/>
    <cellStyle name="Финансовый 2 6 5 4" xfId="1948"/>
    <cellStyle name="Финансовый 2 6 6" xfId="606"/>
    <cellStyle name="Финансовый 2 6 6 2" xfId="2220"/>
    <cellStyle name="Финансовый 2 6 7" xfId="1144"/>
    <cellStyle name="Финансовый 2 6 7 2" xfId="2758"/>
    <cellStyle name="Финансовый 2 6 8" xfId="1680"/>
    <cellStyle name="Финансовый 2 7" xfId="117"/>
    <cellStyle name="Финансовый 2 7 2" xfId="258"/>
    <cellStyle name="Финансовый 2 7 2 2" xfId="527"/>
    <cellStyle name="Финансовый 2 7 2 2 2" xfId="1070"/>
    <cellStyle name="Финансовый 2 7 2 2 2 2" xfId="2684"/>
    <cellStyle name="Финансовый 2 7 2 2 3" xfId="1606"/>
    <cellStyle name="Финансовый 2 7 2 2 3 2" xfId="3220"/>
    <cellStyle name="Финансовый 2 7 2 2 4" xfId="2142"/>
    <cellStyle name="Финансовый 2 7 2 3" xfId="802"/>
    <cellStyle name="Финансовый 2 7 2 3 2" xfId="2416"/>
    <cellStyle name="Финансовый 2 7 2 4" xfId="1338"/>
    <cellStyle name="Финансовый 2 7 2 4 2" xfId="2952"/>
    <cellStyle name="Финансовый 2 7 2 5" xfId="1874"/>
    <cellStyle name="Финансовый 2 7 3" xfId="395"/>
    <cellStyle name="Финансовый 2 7 3 2" xfId="938"/>
    <cellStyle name="Финансовый 2 7 3 2 2" xfId="2552"/>
    <cellStyle name="Финансовый 2 7 3 3" xfId="1474"/>
    <cellStyle name="Финансовый 2 7 3 3 2" xfId="3088"/>
    <cellStyle name="Финансовый 2 7 3 4" xfId="2010"/>
    <cellStyle name="Финансовый 2 7 4" xfId="669"/>
    <cellStyle name="Финансовый 2 7 4 2" xfId="2283"/>
    <cellStyle name="Финансовый 2 7 5" xfId="1206"/>
    <cellStyle name="Финансовый 2 7 5 2" xfId="2820"/>
    <cellStyle name="Финансовый 2 7 6" xfId="1742"/>
    <cellStyle name="Финансовый 2 8" xfId="69"/>
    <cellStyle name="Финансовый 2 8 2" xfId="213"/>
    <cellStyle name="Финансовый 2 8 2 2" xfId="483"/>
    <cellStyle name="Финансовый 2 8 2 2 2" xfId="1026"/>
    <cellStyle name="Финансовый 2 8 2 2 2 2" xfId="2640"/>
    <cellStyle name="Финансовый 2 8 2 2 3" xfId="1562"/>
    <cellStyle name="Финансовый 2 8 2 2 3 2" xfId="3176"/>
    <cellStyle name="Финансовый 2 8 2 2 4" xfId="2098"/>
    <cellStyle name="Финансовый 2 8 2 3" xfId="758"/>
    <cellStyle name="Финансовый 2 8 2 3 2" xfId="2372"/>
    <cellStyle name="Финансовый 2 8 2 4" xfId="1294"/>
    <cellStyle name="Финансовый 2 8 2 4 2" xfId="2908"/>
    <cellStyle name="Финансовый 2 8 2 5" xfId="1830"/>
    <cellStyle name="Финансовый 2 8 3" xfId="351"/>
    <cellStyle name="Финансовый 2 8 3 2" xfId="894"/>
    <cellStyle name="Финансовый 2 8 3 2 2" xfId="2508"/>
    <cellStyle name="Финансовый 2 8 3 3" xfId="1430"/>
    <cellStyle name="Финансовый 2 8 3 3 2" xfId="3044"/>
    <cellStyle name="Финансовый 2 8 3 4" xfId="1966"/>
    <cellStyle name="Финансовый 2 8 4" xfId="624"/>
    <cellStyle name="Финансовый 2 8 4 2" xfId="2238"/>
    <cellStyle name="Финансовый 2 8 5" xfId="1162"/>
    <cellStyle name="Финансовый 2 8 5 2" xfId="2776"/>
    <cellStyle name="Финансовый 2 8 6" xfId="1698"/>
    <cellStyle name="Финансовый 2 9" xfId="165"/>
    <cellStyle name="Финансовый 2 9 2" xfId="439"/>
    <cellStyle name="Финансовый 2 9 2 2" xfId="982"/>
    <cellStyle name="Финансовый 2 9 2 2 2" xfId="2596"/>
    <cellStyle name="Финансовый 2 9 2 3" xfId="1518"/>
    <cellStyle name="Финансовый 2 9 2 3 2" xfId="3132"/>
    <cellStyle name="Финансовый 2 9 2 4" xfId="2054"/>
    <cellStyle name="Финансовый 2 9 3" xfId="714"/>
    <cellStyle name="Финансовый 2 9 3 2" xfId="2328"/>
    <cellStyle name="Финансовый 2 9 4" xfId="1250"/>
    <cellStyle name="Финансовый 2 9 4 2" xfId="2864"/>
    <cellStyle name="Финансовый 2 9 5" xfId="1786"/>
    <cellStyle name="Финансовый 3" xfId="21"/>
    <cellStyle name="Финансовый 3 2" xfId="29"/>
    <cellStyle name="Финансовый 3 2 2" xfId="175"/>
    <cellStyle name="Финансовый 3 2 3" xfId="586"/>
    <cellStyle name="Финансовый 3 2 3 2" xfId="2200"/>
    <cellStyle name="Финансовый 3 2 3 2 2" xfId="3283"/>
    <cellStyle name="Финансовый 3 2 3 3" xfId="3277"/>
    <cellStyle name="Финансовый 3 2 4" xfId="3271"/>
    <cellStyle name="Финансовый 3 3" xfId="36"/>
    <cellStyle name="Финансовый 3 3 2" xfId="131"/>
    <cellStyle name="Финансовый 3 3 2 2" xfId="270"/>
    <cellStyle name="Финансовый 3 3 2 3" xfId="681"/>
    <cellStyle name="Финансовый 3 3 2 3 2" xfId="2295"/>
    <cellStyle name="Финансовый 3 3 2 3 2 2" xfId="3286"/>
    <cellStyle name="Финансовый 3 3 2 3 3" xfId="3280"/>
    <cellStyle name="Финансовый 3 3 2 4" xfId="3274"/>
    <cellStyle name="Финансовый 3 3 3" xfId="83"/>
    <cellStyle name="Финансовый 3 3 3 2" xfId="225"/>
    <cellStyle name="Финансовый 3 3 3 3" xfId="636"/>
    <cellStyle name="Финансовый 3 3 3 3 2" xfId="2250"/>
    <cellStyle name="Финансовый 3 3 3 3 2 2" xfId="3285"/>
    <cellStyle name="Финансовый 3 3 3 3 3" xfId="3279"/>
    <cellStyle name="Финансовый 3 3 3 4" xfId="3273"/>
    <cellStyle name="Финансовый 3 3 4" xfId="180"/>
    <cellStyle name="Финансовый 3 3 5" xfId="591"/>
    <cellStyle name="Финансовый 3 3 5 2" xfId="2205"/>
    <cellStyle name="Финансовый 3 3 5 2 2" xfId="3284"/>
    <cellStyle name="Финансовый 3 3 5 3" xfId="3278"/>
    <cellStyle name="Финансовый 3 3 6" xfId="3272"/>
    <cellStyle name="Финансовый 3 4" xfId="169"/>
    <cellStyle name="Финансовый 3 5" xfId="580"/>
    <cellStyle name="Финансовый 3 5 2" xfId="2194"/>
    <cellStyle name="Финансовый 3 5 2 2" xfId="3282"/>
    <cellStyle name="Финансовый 3 5 3" xfId="3276"/>
    <cellStyle name="Финансовый 3 6" xfId="3270"/>
    <cellStyle name="Финансовый 4" xfId="19"/>
    <cellStyle name="Финансовый 4 10" xfId="578"/>
    <cellStyle name="Финансовый 4 10 2" xfId="2192"/>
    <cellStyle name="Финансовый 4 11" xfId="1120"/>
    <cellStyle name="Финансовый 4 11 2" xfId="2734"/>
    <cellStyle name="Финансовый 4 12" xfId="1656"/>
    <cellStyle name="Финансовый 4 2" xfId="28"/>
    <cellStyle name="Финансовый 4 2 10" xfId="1125"/>
    <cellStyle name="Финансовый 4 2 10 2" xfId="2739"/>
    <cellStyle name="Финансовый 4 2 11" xfId="1661"/>
    <cellStyle name="Финансовый 4 2 2" xfId="49"/>
    <cellStyle name="Финансовый 4 2 2 2" xfId="67"/>
    <cellStyle name="Финансовый 4 2 2 2 2" xfId="162"/>
    <cellStyle name="Финансовый 4 2 2 2 2 2" xfId="301"/>
    <cellStyle name="Финансовый 4 2 2 2 2 2 2" xfId="569"/>
    <cellStyle name="Финансовый 4 2 2 2 2 2 2 2" xfId="1112"/>
    <cellStyle name="Финансовый 4 2 2 2 2 2 2 2 2" xfId="2726"/>
    <cellStyle name="Финансовый 4 2 2 2 2 2 2 3" xfId="1648"/>
    <cellStyle name="Финансовый 4 2 2 2 2 2 2 3 2" xfId="3262"/>
    <cellStyle name="Финансовый 4 2 2 2 2 2 2 4" xfId="2184"/>
    <cellStyle name="Финансовый 4 2 2 2 2 2 3" xfId="844"/>
    <cellStyle name="Финансовый 4 2 2 2 2 2 3 2" xfId="2458"/>
    <cellStyle name="Финансовый 4 2 2 2 2 2 4" xfId="1380"/>
    <cellStyle name="Финансовый 4 2 2 2 2 2 4 2" xfId="2994"/>
    <cellStyle name="Финансовый 4 2 2 2 2 2 5" xfId="1916"/>
    <cellStyle name="Финансовый 4 2 2 2 2 3" xfId="437"/>
    <cellStyle name="Финансовый 4 2 2 2 2 3 2" xfId="980"/>
    <cellStyle name="Финансовый 4 2 2 2 2 3 2 2" xfId="2594"/>
    <cellStyle name="Финансовый 4 2 2 2 2 3 3" xfId="1516"/>
    <cellStyle name="Финансовый 4 2 2 2 2 3 3 2" xfId="3130"/>
    <cellStyle name="Финансовый 4 2 2 2 2 3 4" xfId="2052"/>
    <cellStyle name="Финансовый 4 2 2 2 2 4" xfId="712"/>
    <cellStyle name="Финансовый 4 2 2 2 2 4 2" xfId="2326"/>
    <cellStyle name="Финансовый 4 2 2 2 2 5" xfId="1248"/>
    <cellStyle name="Финансовый 4 2 2 2 2 5 2" xfId="2862"/>
    <cellStyle name="Финансовый 4 2 2 2 2 6" xfId="1784"/>
    <cellStyle name="Финансовый 4 2 2 2 3" xfId="114"/>
    <cellStyle name="Финансовый 4 2 2 2 3 2" xfId="256"/>
    <cellStyle name="Финансовый 4 2 2 2 3 2 2" xfId="525"/>
    <cellStyle name="Финансовый 4 2 2 2 3 2 2 2" xfId="1068"/>
    <cellStyle name="Финансовый 4 2 2 2 3 2 2 2 2" xfId="2682"/>
    <cellStyle name="Финансовый 4 2 2 2 3 2 2 3" xfId="1604"/>
    <cellStyle name="Финансовый 4 2 2 2 3 2 2 3 2" xfId="3218"/>
    <cellStyle name="Финансовый 4 2 2 2 3 2 2 4" xfId="2140"/>
    <cellStyle name="Финансовый 4 2 2 2 3 2 3" xfId="800"/>
    <cellStyle name="Финансовый 4 2 2 2 3 2 3 2" xfId="2414"/>
    <cellStyle name="Финансовый 4 2 2 2 3 2 4" xfId="1336"/>
    <cellStyle name="Финансовый 4 2 2 2 3 2 4 2" xfId="2950"/>
    <cellStyle name="Финансовый 4 2 2 2 3 2 5" xfId="1872"/>
    <cellStyle name="Финансовый 4 2 2 2 3 3" xfId="393"/>
    <cellStyle name="Финансовый 4 2 2 2 3 3 2" xfId="936"/>
    <cellStyle name="Финансовый 4 2 2 2 3 3 2 2" xfId="2550"/>
    <cellStyle name="Финансовый 4 2 2 2 3 3 3" xfId="1472"/>
    <cellStyle name="Финансовый 4 2 2 2 3 3 3 2" xfId="3086"/>
    <cellStyle name="Финансовый 4 2 2 2 3 3 4" xfId="2008"/>
    <cellStyle name="Финансовый 4 2 2 2 3 4" xfId="667"/>
    <cellStyle name="Финансовый 4 2 2 2 3 4 2" xfId="2281"/>
    <cellStyle name="Финансовый 4 2 2 2 3 5" xfId="1204"/>
    <cellStyle name="Финансовый 4 2 2 2 3 5 2" xfId="2818"/>
    <cellStyle name="Финансовый 4 2 2 2 3 6" xfId="1740"/>
    <cellStyle name="Финансовый 4 2 2 2 4" xfId="211"/>
    <cellStyle name="Финансовый 4 2 2 2 4 2" xfId="481"/>
    <cellStyle name="Финансовый 4 2 2 2 4 2 2" xfId="1024"/>
    <cellStyle name="Финансовый 4 2 2 2 4 2 2 2" xfId="2638"/>
    <cellStyle name="Финансовый 4 2 2 2 4 2 3" xfId="1560"/>
    <cellStyle name="Финансовый 4 2 2 2 4 2 3 2" xfId="3174"/>
    <cellStyle name="Финансовый 4 2 2 2 4 2 4" xfId="2096"/>
    <cellStyle name="Финансовый 4 2 2 2 4 3" xfId="756"/>
    <cellStyle name="Финансовый 4 2 2 2 4 3 2" xfId="2370"/>
    <cellStyle name="Финансовый 4 2 2 2 4 4" xfId="1292"/>
    <cellStyle name="Финансовый 4 2 2 2 4 4 2" xfId="2906"/>
    <cellStyle name="Финансовый 4 2 2 2 4 5" xfId="1828"/>
    <cellStyle name="Финансовый 4 2 2 2 5" xfId="349"/>
    <cellStyle name="Финансовый 4 2 2 2 5 2" xfId="892"/>
    <cellStyle name="Финансовый 4 2 2 2 5 2 2" xfId="2506"/>
    <cellStyle name="Финансовый 4 2 2 2 5 3" xfId="1428"/>
    <cellStyle name="Финансовый 4 2 2 2 5 3 2" xfId="3042"/>
    <cellStyle name="Финансовый 4 2 2 2 5 4" xfId="1964"/>
    <cellStyle name="Финансовый 4 2 2 2 6" xfId="622"/>
    <cellStyle name="Финансовый 4 2 2 2 6 2" xfId="2236"/>
    <cellStyle name="Финансовый 4 2 2 2 7" xfId="1160"/>
    <cellStyle name="Финансовый 4 2 2 2 7 2" xfId="2774"/>
    <cellStyle name="Финансовый 4 2 2 2 8" xfId="1696"/>
    <cellStyle name="Финансовый 4 2 2 3" xfId="144"/>
    <cellStyle name="Финансовый 4 2 2 3 2" xfId="283"/>
    <cellStyle name="Финансовый 4 2 2 3 2 2" xfId="551"/>
    <cellStyle name="Финансовый 4 2 2 3 2 2 2" xfId="1094"/>
    <cellStyle name="Финансовый 4 2 2 3 2 2 2 2" xfId="2708"/>
    <cellStyle name="Финансовый 4 2 2 3 2 2 3" xfId="1630"/>
    <cellStyle name="Финансовый 4 2 2 3 2 2 3 2" xfId="3244"/>
    <cellStyle name="Финансовый 4 2 2 3 2 2 4" xfId="2166"/>
    <cellStyle name="Финансовый 4 2 2 3 2 3" xfId="826"/>
    <cellStyle name="Финансовый 4 2 2 3 2 3 2" xfId="2440"/>
    <cellStyle name="Финансовый 4 2 2 3 2 4" xfId="1362"/>
    <cellStyle name="Финансовый 4 2 2 3 2 4 2" xfId="2976"/>
    <cellStyle name="Финансовый 4 2 2 3 2 5" xfId="1898"/>
    <cellStyle name="Финансовый 4 2 2 3 3" xfId="419"/>
    <cellStyle name="Финансовый 4 2 2 3 3 2" xfId="962"/>
    <cellStyle name="Финансовый 4 2 2 3 3 2 2" xfId="2576"/>
    <cellStyle name="Финансовый 4 2 2 3 3 3" xfId="1498"/>
    <cellStyle name="Финансовый 4 2 2 3 3 3 2" xfId="3112"/>
    <cellStyle name="Финансовый 4 2 2 3 3 4" xfId="2034"/>
    <cellStyle name="Финансовый 4 2 2 3 4" xfId="694"/>
    <cellStyle name="Финансовый 4 2 2 3 4 2" xfId="2308"/>
    <cellStyle name="Финансовый 4 2 2 3 5" xfId="1230"/>
    <cellStyle name="Финансовый 4 2 2 3 5 2" xfId="2844"/>
    <cellStyle name="Финансовый 4 2 2 3 6" xfId="1766"/>
    <cellStyle name="Финансовый 4 2 2 4" xfId="96"/>
    <cellStyle name="Финансовый 4 2 2 4 2" xfId="238"/>
    <cellStyle name="Финансовый 4 2 2 4 2 2" xfId="507"/>
    <cellStyle name="Финансовый 4 2 2 4 2 2 2" xfId="1050"/>
    <cellStyle name="Финансовый 4 2 2 4 2 2 2 2" xfId="2664"/>
    <cellStyle name="Финансовый 4 2 2 4 2 2 3" xfId="1586"/>
    <cellStyle name="Финансовый 4 2 2 4 2 2 3 2" xfId="3200"/>
    <cellStyle name="Финансовый 4 2 2 4 2 2 4" xfId="2122"/>
    <cellStyle name="Финансовый 4 2 2 4 2 3" xfId="782"/>
    <cellStyle name="Финансовый 4 2 2 4 2 3 2" xfId="2396"/>
    <cellStyle name="Финансовый 4 2 2 4 2 4" xfId="1318"/>
    <cellStyle name="Финансовый 4 2 2 4 2 4 2" xfId="2932"/>
    <cellStyle name="Финансовый 4 2 2 4 2 5" xfId="1854"/>
    <cellStyle name="Финансовый 4 2 2 4 3" xfId="375"/>
    <cellStyle name="Финансовый 4 2 2 4 3 2" xfId="918"/>
    <cellStyle name="Финансовый 4 2 2 4 3 2 2" xfId="2532"/>
    <cellStyle name="Финансовый 4 2 2 4 3 3" xfId="1454"/>
    <cellStyle name="Финансовый 4 2 2 4 3 3 2" xfId="3068"/>
    <cellStyle name="Финансовый 4 2 2 4 3 4" xfId="1990"/>
    <cellStyle name="Финансовый 4 2 2 4 4" xfId="649"/>
    <cellStyle name="Финансовый 4 2 2 4 4 2" xfId="2263"/>
    <cellStyle name="Финансовый 4 2 2 4 5" xfId="1186"/>
    <cellStyle name="Финансовый 4 2 2 4 5 2" xfId="2800"/>
    <cellStyle name="Финансовый 4 2 2 4 6" xfId="1722"/>
    <cellStyle name="Финансовый 4 2 2 5" xfId="193"/>
    <cellStyle name="Финансовый 4 2 2 5 2" xfId="463"/>
    <cellStyle name="Финансовый 4 2 2 5 2 2" xfId="1006"/>
    <cellStyle name="Финансовый 4 2 2 5 2 2 2" xfId="2620"/>
    <cellStyle name="Финансовый 4 2 2 5 2 3" xfId="1542"/>
    <cellStyle name="Финансовый 4 2 2 5 2 3 2" xfId="3156"/>
    <cellStyle name="Финансовый 4 2 2 5 2 4" xfId="2078"/>
    <cellStyle name="Финансовый 4 2 2 5 3" xfId="738"/>
    <cellStyle name="Финансовый 4 2 2 5 3 2" xfId="2352"/>
    <cellStyle name="Финансовый 4 2 2 5 4" xfId="1274"/>
    <cellStyle name="Финансовый 4 2 2 5 4 2" xfId="2888"/>
    <cellStyle name="Финансовый 4 2 2 5 5" xfId="1810"/>
    <cellStyle name="Финансовый 4 2 2 6" xfId="331"/>
    <cellStyle name="Финансовый 4 2 2 6 2" xfId="874"/>
    <cellStyle name="Финансовый 4 2 2 6 2 2" xfId="2488"/>
    <cellStyle name="Финансовый 4 2 2 6 3" xfId="1410"/>
    <cellStyle name="Финансовый 4 2 2 6 3 2" xfId="3024"/>
    <cellStyle name="Финансовый 4 2 2 6 4" xfId="1946"/>
    <cellStyle name="Финансовый 4 2 2 7" xfId="604"/>
    <cellStyle name="Финансовый 4 2 2 7 2" xfId="2218"/>
    <cellStyle name="Финансовый 4 2 2 8" xfId="1142"/>
    <cellStyle name="Финансовый 4 2 2 8 2" xfId="2756"/>
    <cellStyle name="Финансовый 4 2 2 9" xfId="1678"/>
    <cellStyle name="Финансовый 4 2 3" xfId="40"/>
    <cellStyle name="Финансовый 4 2 3 2" xfId="135"/>
    <cellStyle name="Финансовый 4 2 3 2 2" xfId="274"/>
    <cellStyle name="Финансовый 4 2 3 2 2 2" xfId="542"/>
    <cellStyle name="Финансовый 4 2 3 2 2 2 2" xfId="1085"/>
    <cellStyle name="Финансовый 4 2 3 2 2 2 2 2" xfId="2699"/>
    <cellStyle name="Финансовый 4 2 3 2 2 2 3" xfId="1621"/>
    <cellStyle name="Финансовый 4 2 3 2 2 2 3 2" xfId="3235"/>
    <cellStyle name="Финансовый 4 2 3 2 2 2 4" xfId="2157"/>
    <cellStyle name="Финансовый 4 2 3 2 2 3" xfId="817"/>
    <cellStyle name="Финансовый 4 2 3 2 2 3 2" xfId="2431"/>
    <cellStyle name="Финансовый 4 2 3 2 2 4" xfId="1353"/>
    <cellStyle name="Финансовый 4 2 3 2 2 4 2" xfId="2967"/>
    <cellStyle name="Финансовый 4 2 3 2 2 5" xfId="1889"/>
    <cellStyle name="Финансовый 4 2 3 2 3" xfId="410"/>
    <cellStyle name="Финансовый 4 2 3 2 3 2" xfId="953"/>
    <cellStyle name="Финансовый 4 2 3 2 3 2 2" xfId="2567"/>
    <cellStyle name="Финансовый 4 2 3 2 3 3" xfId="1489"/>
    <cellStyle name="Финансовый 4 2 3 2 3 3 2" xfId="3103"/>
    <cellStyle name="Финансовый 4 2 3 2 3 4" xfId="2025"/>
    <cellStyle name="Финансовый 4 2 3 2 4" xfId="685"/>
    <cellStyle name="Финансовый 4 2 3 2 4 2" xfId="2299"/>
    <cellStyle name="Финансовый 4 2 3 2 5" xfId="1221"/>
    <cellStyle name="Финансовый 4 2 3 2 5 2" xfId="2835"/>
    <cellStyle name="Финансовый 4 2 3 2 6" xfId="1757"/>
    <cellStyle name="Финансовый 4 2 3 3" xfId="87"/>
    <cellStyle name="Финансовый 4 2 3 3 2" xfId="229"/>
    <cellStyle name="Финансовый 4 2 3 3 2 2" xfId="498"/>
    <cellStyle name="Финансовый 4 2 3 3 2 2 2" xfId="1041"/>
    <cellStyle name="Финансовый 4 2 3 3 2 2 2 2" xfId="2655"/>
    <cellStyle name="Финансовый 4 2 3 3 2 2 3" xfId="1577"/>
    <cellStyle name="Финансовый 4 2 3 3 2 2 3 2" xfId="3191"/>
    <cellStyle name="Финансовый 4 2 3 3 2 2 4" xfId="2113"/>
    <cellStyle name="Финансовый 4 2 3 3 2 3" xfId="773"/>
    <cellStyle name="Финансовый 4 2 3 3 2 3 2" xfId="2387"/>
    <cellStyle name="Финансовый 4 2 3 3 2 4" xfId="1309"/>
    <cellStyle name="Финансовый 4 2 3 3 2 4 2" xfId="2923"/>
    <cellStyle name="Финансовый 4 2 3 3 2 5" xfId="1845"/>
    <cellStyle name="Финансовый 4 2 3 3 3" xfId="366"/>
    <cellStyle name="Финансовый 4 2 3 3 3 2" xfId="909"/>
    <cellStyle name="Финансовый 4 2 3 3 3 2 2" xfId="2523"/>
    <cellStyle name="Финансовый 4 2 3 3 3 3" xfId="1445"/>
    <cellStyle name="Финансовый 4 2 3 3 3 3 2" xfId="3059"/>
    <cellStyle name="Финансовый 4 2 3 3 3 4" xfId="1981"/>
    <cellStyle name="Финансовый 4 2 3 3 4" xfId="640"/>
    <cellStyle name="Финансовый 4 2 3 3 4 2" xfId="2254"/>
    <cellStyle name="Финансовый 4 2 3 3 5" xfId="1177"/>
    <cellStyle name="Финансовый 4 2 3 3 5 2" xfId="2791"/>
    <cellStyle name="Финансовый 4 2 3 3 6" xfId="1713"/>
    <cellStyle name="Финансовый 4 2 3 4" xfId="184"/>
    <cellStyle name="Финансовый 4 2 3 4 2" xfId="454"/>
    <cellStyle name="Финансовый 4 2 3 4 2 2" xfId="997"/>
    <cellStyle name="Финансовый 4 2 3 4 2 2 2" xfId="2611"/>
    <cellStyle name="Финансовый 4 2 3 4 2 3" xfId="1533"/>
    <cellStyle name="Финансовый 4 2 3 4 2 3 2" xfId="3147"/>
    <cellStyle name="Финансовый 4 2 3 4 2 4" xfId="2069"/>
    <cellStyle name="Финансовый 4 2 3 4 3" xfId="729"/>
    <cellStyle name="Финансовый 4 2 3 4 3 2" xfId="2343"/>
    <cellStyle name="Финансовый 4 2 3 4 4" xfId="1265"/>
    <cellStyle name="Финансовый 4 2 3 4 4 2" xfId="2879"/>
    <cellStyle name="Финансовый 4 2 3 4 5" xfId="1801"/>
    <cellStyle name="Финансовый 4 2 3 5" xfId="322"/>
    <cellStyle name="Финансовый 4 2 3 5 2" xfId="865"/>
    <cellStyle name="Финансовый 4 2 3 5 2 2" xfId="2479"/>
    <cellStyle name="Финансовый 4 2 3 5 3" xfId="1401"/>
    <cellStyle name="Финансовый 4 2 3 5 3 2" xfId="3015"/>
    <cellStyle name="Финансовый 4 2 3 5 4" xfId="1937"/>
    <cellStyle name="Финансовый 4 2 3 6" xfId="595"/>
    <cellStyle name="Финансовый 4 2 3 6 2" xfId="2209"/>
    <cellStyle name="Финансовый 4 2 3 7" xfId="1133"/>
    <cellStyle name="Финансовый 4 2 3 7 2" xfId="2747"/>
    <cellStyle name="Финансовый 4 2 3 8" xfId="1669"/>
    <cellStyle name="Финансовый 4 2 4" xfId="57"/>
    <cellStyle name="Финансовый 4 2 4 2" xfId="152"/>
    <cellStyle name="Финансовый 4 2 4 2 2" xfId="291"/>
    <cellStyle name="Финансовый 4 2 4 2 2 2" xfId="559"/>
    <cellStyle name="Финансовый 4 2 4 2 2 2 2" xfId="1102"/>
    <cellStyle name="Финансовый 4 2 4 2 2 2 2 2" xfId="2716"/>
    <cellStyle name="Финансовый 4 2 4 2 2 2 3" xfId="1638"/>
    <cellStyle name="Финансовый 4 2 4 2 2 2 3 2" xfId="3252"/>
    <cellStyle name="Финансовый 4 2 4 2 2 2 4" xfId="2174"/>
    <cellStyle name="Финансовый 4 2 4 2 2 3" xfId="834"/>
    <cellStyle name="Финансовый 4 2 4 2 2 3 2" xfId="2448"/>
    <cellStyle name="Финансовый 4 2 4 2 2 4" xfId="1370"/>
    <cellStyle name="Финансовый 4 2 4 2 2 4 2" xfId="2984"/>
    <cellStyle name="Финансовый 4 2 4 2 2 5" xfId="1906"/>
    <cellStyle name="Финансовый 4 2 4 2 3" xfId="427"/>
    <cellStyle name="Финансовый 4 2 4 2 3 2" xfId="970"/>
    <cellStyle name="Финансовый 4 2 4 2 3 2 2" xfId="2584"/>
    <cellStyle name="Финансовый 4 2 4 2 3 3" xfId="1506"/>
    <cellStyle name="Финансовый 4 2 4 2 3 3 2" xfId="3120"/>
    <cellStyle name="Финансовый 4 2 4 2 3 4" xfId="2042"/>
    <cellStyle name="Финансовый 4 2 4 2 4" xfId="702"/>
    <cellStyle name="Финансовый 4 2 4 2 4 2" xfId="2316"/>
    <cellStyle name="Финансовый 4 2 4 2 5" xfId="1238"/>
    <cellStyle name="Финансовый 4 2 4 2 5 2" xfId="2852"/>
    <cellStyle name="Финансовый 4 2 4 2 6" xfId="1774"/>
    <cellStyle name="Финансовый 4 2 4 3" xfId="104"/>
    <cellStyle name="Финансовый 4 2 4 3 2" xfId="246"/>
    <cellStyle name="Финансовый 4 2 4 3 2 2" xfId="515"/>
    <cellStyle name="Финансовый 4 2 4 3 2 2 2" xfId="1058"/>
    <cellStyle name="Финансовый 4 2 4 3 2 2 2 2" xfId="2672"/>
    <cellStyle name="Финансовый 4 2 4 3 2 2 3" xfId="1594"/>
    <cellStyle name="Финансовый 4 2 4 3 2 2 3 2" xfId="3208"/>
    <cellStyle name="Финансовый 4 2 4 3 2 2 4" xfId="2130"/>
    <cellStyle name="Финансовый 4 2 4 3 2 3" xfId="790"/>
    <cellStyle name="Финансовый 4 2 4 3 2 3 2" xfId="2404"/>
    <cellStyle name="Финансовый 4 2 4 3 2 4" xfId="1326"/>
    <cellStyle name="Финансовый 4 2 4 3 2 4 2" xfId="2940"/>
    <cellStyle name="Финансовый 4 2 4 3 2 5" xfId="1862"/>
    <cellStyle name="Финансовый 4 2 4 3 3" xfId="383"/>
    <cellStyle name="Финансовый 4 2 4 3 3 2" xfId="926"/>
    <cellStyle name="Финансовый 4 2 4 3 3 2 2" xfId="2540"/>
    <cellStyle name="Финансовый 4 2 4 3 3 3" xfId="1462"/>
    <cellStyle name="Финансовый 4 2 4 3 3 3 2" xfId="3076"/>
    <cellStyle name="Финансовый 4 2 4 3 3 4" xfId="1998"/>
    <cellStyle name="Финансовый 4 2 4 3 4" xfId="657"/>
    <cellStyle name="Финансовый 4 2 4 3 4 2" xfId="2271"/>
    <cellStyle name="Финансовый 4 2 4 3 5" xfId="1194"/>
    <cellStyle name="Финансовый 4 2 4 3 5 2" xfId="2808"/>
    <cellStyle name="Финансовый 4 2 4 3 6" xfId="1730"/>
    <cellStyle name="Финансовый 4 2 4 4" xfId="201"/>
    <cellStyle name="Финансовый 4 2 4 4 2" xfId="471"/>
    <cellStyle name="Финансовый 4 2 4 4 2 2" xfId="1014"/>
    <cellStyle name="Финансовый 4 2 4 4 2 2 2" xfId="2628"/>
    <cellStyle name="Финансовый 4 2 4 4 2 3" xfId="1550"/>
    <cellStyle name="Финансовый 4 2 4 4 2 3 2" xfId="3164"/>
    <cellStyle name="Финансовый 4 2 4 4 2 4" xfId="2086"/>
    <cellStyle name="Финансовый 4 2 4 4 3" xfId="746"/>
    <cellStyle name="Финансовый 4 2 4 4 3 2" xfId="2360"/>
    <cellStyle name="Финансовый 4 2 4 4 4" xfId="1282"/>
    <cellStyle name="Финансовый 4 2 4 4 4 2" xfId="2896"/>
    <cellStyle name="Финансовый 4 2 4 4 5" xfId="1818"/>
    <cellStyle name="Финансовый 4 2 4 5" xfId="339"/>
    <cellStyle name="Финансовый 4 2 4 5 2" xfId="882"/>
    <cellStyle name="Финансовый 4 2 4 5 2 2" xfId="2496"/>
    <cellStyle name="Финансовый 4 2 4 5 3" xfId="1418"/>
    <cellStyle name="Финансовый 4 2 4 5 3 2" xfId="3032"/>
    <cellStyle name="Финансовый 4 2 4 5 4" xfId="1954"/>
    <cellStyle name="Финансовый 4 2 4 6" xfId="612"/>
    <cellStyle name="Финансовый 4 2 4 6 2" xfId="2226"/>
    <cellStyle name="Финансовый 4 2 4 7" xfId="1150"/>
    <cellStyle name="Финансовый 4 2 4 7 2" xfId="2764"/>
    <cellStyle name="Финансовый 4 2 4 8" xfId="1686"/>
    <cellStyle name="Финансовый 4 2 5" xfId="124"/>
    <cellStyle name="Финансовый 4 2 5 2" xfId="265"/>
    <cellStyle name="Финансовый 4 2 5 2 2" xfId="534"/>
    <cellStyle name="Финансовый 4 2 5 2 2 2" xfId="1077"/>
    <cellStyle name="Финансовый 4 2 5 2 2 2 2" xfId="2691"/>
    <cellStyle name="Финансовый 4 2 5 2 2 3" xfId="1613"/>
    <cellStyle name="Финансовый 4 2 5 2 2 3 2" xfId="3227"/>
    <cellStyle name="Финансовый 4 2 5 2 2 4" xfId="2149"/>
    <cellStyle name="Финансовый 4 2 5 2 3" xfId="809"/>
    <cellStyle name="Финансовый 4 2 5 2 3 2" xfId="2423"/>
    <cellStyle name="Финансовый 4 2 5 2 4" xfId="1345"/>
    <cellStyle name="Финансовый 4 2 5 2 4 2" xfId="2959"/>
    <cellStyle name="Финансовый 4 2 5 2 5" xfId="1881"/>
    <cellStyle name="Финансовый 4 2 5 3" xfId="402"/>
    <cellStyle name="Финансовый 4 2 5 3 2" xfId="945"/>
    <cellStyle name="Финансовый 4 2 5 3 2 2" xfId="2559"/>
    <cellStyle name="Финансовый 4 2 5 3 3" xfId="1481"/>
    <cellStyle name="Финансовый 4 2 5 3 3 2" xfId="3095"/>
    <cellStyle name="Финансовый 4 2 5 3 4" xfId="2017"/>
    <cellStyle name="Финансовый 4 2 5 4" xfId="676"/>
    <cellStyle name="Финансовый 4 2 5 4 2" xfId="2290"/>
    <cellStyle name="Финансовый 4 2 5 5" xfId="1213"/>
    <cellStyle name="Финансовый 4 2 5 5 2" xfId="2827"/>
    <cellStyle name="Финансовый 4 2 5 6" xfId="1749"/>
    <cellStyle name="Финансовый 4 2 6" xfId="76"/>
    <cellStyle name="Финансовый 4 2 6 2" xfId="220"/>
    <cellStyle name="Финансовый 4 2 6 2 2" xfId="490"/>
    <cellStyle name="Финансовый 4 2 6 2 2 2" xfId="1033"/>
    <cellStyle name="Финансовый 4 2 6 2 2 2 2" xfId="2647"/>
    <cellStyle name="Финансовый 4 2 6 2 2 3" xfId="1569"/>
    <cellStyle name="Финансовый 4 2 6 2 2 3 2" xfId="3183"/>
    <cellStyle name="Финансовый 4 2 6 2 2 4" xfId="2105"/>
    <cellStyle name="Финансовый 4 2 6 2 3" xfId="765"/>
    <cellStyle name="Финансовый 4 2 6 2 3 2" xfId="2379"/>
    <cellStyle name="Финансовый 4 2 6 2 4" xfId="1301"/>
    <cellStyle name="Финансовый 4 2 6 2 4 2" xfId="2915"/>
    <cellStyle name="Финансовый 4 2 6 2 5" xfId="1837"/>
    <cellStyle name="Финансовый 4 2 6 3" xfId="358"/>
    <cellStyle name="Финансовый 4 2 6 3 2" xfId="901"/>
    <cellStyle name="Финансовый 4 2 6 3 2 2" xfId="2515"/>
    <cellStyle name="Финансовый 4 2 6 3 3" xfId="1437"/>
    <cellStyle name="Финансовый 4 2 6 3 3 2" xfId="3051"/>
    <cellStyle name="Финансовый 4 2 6 3 4" xfId="1973"/>
    <cellStyle name="Финансовый 4 2 6 4" xfId="631"/>
    <cellStyle name="Финансовый 4 2 6 4 2" xfId="2245"/>
    <cellStyle name="Финансовый 4 2 6 5" xfId="1169"/>
    <cellStyle name="Финансовый 4 2 6 5 2" xfId="2783"/>
    <cellStyle name="Финансовый 4 2 6 6" xfId="1705"/>
    <cellStyle name="Финансовый 4 2 7" xfId="174"/>
    <cellStyle name="Финансовый 4 2 7 2" xfId="446"/>
    <cellStyle name="Финансовый 4 2 7 2 2" xfId="989"/>
    <cellStyle name="Финансовый 4 2 7 2 2 2" xfId="2603"/>
    <cellStyle name="Финансовый 4 2 7 2 3" xfId="1525"/>
    <cellStyle name="Финансовый 4 2 7 2 3 2" xfId="3139"/>
    <cellStyle name="Финансовый 4 2 7 2 4" xfId="2061"/>
    <cellStyle name="Финансовый 4 2 7 3" xfId="721"/>
    <cellStyle name="Финансовый 4 2 7 3 2" xfId="2335"/>
    <cellStyle name="Финансовый 4 2 7 4" xfId="1257"/>
    <cellStyle name="Финансовый 4 2 7 4 2" xfId="2871"/>
    <cellStyle name="Финансовый 4 2 7 5" xfId="1793"/>
    <cellStyle name="Финансовый 4 2 8" xfId="314"/>
    <cellStyle name="Финансовый 4 2 8 2" xfId="857"/>
    <cellStyle name="Финансовый 4 2 8 2 2" xfId="2471"/>
    <cellStyle name="Финансовый 4 2 8 3" xfId="1393"/>
    <cellStyle name="Финансовый 4 2 8 3 2" xfId="3007"/>
    <cellStyle name="Финансовый 4 2 8 4" xfId="1929"/>
    <cellStyle name="Финансовый 4 2 9" xfId="585"/>
    <cellStyle name="Финансовый 4 2 9 2" xfId="2199"/>
    <cellStyle name="Финансовый 4 3" xfId="44"/>
    <cellStyle name="Финансовый 4 3 2" xfId="62"/>
    <cellStyle name="Финансовый 4 3 2 2" xfId="157"/>
    <cellStyle name="Финансовый 4 3 2 2 2" xfId="296"/>
    <cellStyle name="Финансовый 4 3 2 2 2 2" xfId="564"/>
    <cellStyle name="Финансовый 4 3 2 2 2 2 2" xfId="1107"/>
    <cellStyle name="Финансовый 4 3 2 2 2 2 2 2" xfId="2721"/>
    <cellStyle name="Финансовый 4 3 2 2 2 2 3" xfId="1643"/>
    <cellStyle name="Финансовый 4 3 2 2 2 2 3 2" xfId="3257"/>
    <cellStyle name="Финансовый 4 3 2 2 2 2 4" xfId="2179"/>
    <cellStyle name="Финансовый 4 3 2 2 2 3" xfId="839"/>
    <cellStyle name="Финансовый 4 3 2 2 2 3 2" xfId="2453"/>
    <cellStyle name="Финансовый 4 3 2 2 2 4" xfId="1375"/>
    <cellStyle name="Финансовый 4 3 2 2 2 4 2" xfId="2989"/>
    <cellStyle name="Финансовый 4 3 2 2 2 5" xfId="1911"/>
    <cellStyle name="Финансовый 4 3 2 2 3" xfId="432"/>
    <cellStyle name="Финансовый 4 3 2 2 3 2" xfId="975"/>
    <cellStyle name="Финансовый 4 3 2 2 3 2 2" xfId="2589"/>
    <cellStyle name="Финансовый 4 3 2 2 3 3" xfId="1511"/>
    <cellStyle name="Финансовый 4 3 2 2 3 3 2" xfId="3125"/>
    <cellStyle name="Финансовый 4 3 2 2 3 4" xfId="2047"/>
    <cellStyle name="Финансовый 4 3 2 2 4" xfId="707"/>
    <cellStyle name="Финансовый 4 3 2 2 4 2" xfId="2321"/>
    <cellStyle name="Финансовый 4 3 2 2 5" xfId="1243"/>
    <cellStyle name="Финансовый 4 3 2 2 5 2" xfId="2857"/>
    <cellStyle name="Финансовый 4 3 2 2 6" xfId="1779"/>
    <cellStyle name="Финансовый 4 3 2 3" xfId="109"/>
    <cellStyle name="Финансовый 4 3 2 3 2" xfId="251"/>
    <cellStyle name="Финансовый 4 3 2 3 2 2" xfId="520"/>
    <cellStyle name="Финансовый 4 3 2 3 2 2 2" xfId="1063"/>
    <cellStyle name="Финансовый 4 3 2 3 2 2 2 2" xfId="2677"/>
    <cellStyle name="Финансовый 4 3 2 3 2 2 3" xfId="1599"/>
    <cellStyle name="Финансовый 4 3 2 3 2 2 3 2" xfId="3213"/>
    <cellStyle name="Финансовый 4 3 2 3 2 2 4" xfId="2135"/>
    <cellStyle name="Финансовый 4 3 2 3 2 3" xfId="795"/>
    <cellStyle name="Финансовый 4 3 2 3 2 3 2" xfId="2409"/>
    <cellStyle name="Финансовый 4 3 2 3 2 4" xfId="1331"/>
    <cellStyle name="Финансовый 4 3 2 3 2 4 2" xfId="2945"/>
    <cellStyle name="Финансовый 4 3 2 3 2 5" xfId="1867"/>
    <cellStyle name="Финансовый 4 3 2 3 3" xfId="388"/>
    <cellStyle name="Финансовый 4 3 2 3 3 2" xfId="931"/>
    <cellStyle name="Финансовый 4 3 2 3 3 2 2" xfId="2545"/>
    <cellStyle name="Финансовый 4 3 2 3 3 3" xfId="1467"/>
    <cellStyle name="Финансовый 4 3 2 3 3 3 2" xfId="3081"/>
    <cellStyle name="Финансовый 4 3 2 3 3 4" xfId="2003"/>
    <cellStyle name="Финансовый 4 3 2 3 4" xfId="662"/>
    <cellStyle name="Финансовый 4 3 2 3 4 2" xfId="2276"/>
    <cellStyle name="Финансовый 4 3 2 3 5" xfId="1199"/>
    <cellStyle name="Финансовый 4 3 2 3 5 2" xfId="2813"/>
    <cellStyle name="Финансовый 4 3 2 3 6" xfId="1735"/>
    <cellStyle name="Финансовый 4 3 2 4" xfId="206"/>
    <cellStyle name="Финансовый 4 3 2 4 2" xfId="476"/>
    <cellStyle name="Финансовый 4 3 2 4 2 2" xfId="1019"/>
    <cellStyle name="Финансовый 4 3 2 4 2 2 2" xfId="2633"/>
    <cellStyle name="Финансовый 4 3 2 4 2 3" xfId="1555"/>
    <cellStyle name="Финансовый 4 3 2 4 2 3 2" xfId="3169"/>
    <cellStyle name="Финансовый 4 3 2 4 2 4" xfId="2091"/>
    <cellStyle name="Финансовый 4 3 2 4 3" xfId="751"/>
    <cellStyle name="Финансовый 4 3 2 4 3 2" xfId="2365"/>
    <cellStyle name="Финансовый 4 3 2 4 4" xfId="1287"/>
    <cellStyle name="Финансовый 4 3 2 4 4 2" xfId="2901"/>
    <cellStyle name="Финансовый 4 3 2 4 5" xfId="1823"/>
    <cellStyle name="Финансовый 4 3 2 5" xfId="344"/>
    <cellStyle name="Финансовый 4 3 2 5 2" xfId="887"/>
    <cellStyle name="Финансовый 4 3 2 5 2 2" xfId="2501"/>
    <cellStyle name="Финансовый 4 3 2 5 3" xfId="1423"/>
    <cellStyle name="Финансовый 4 3 2 5 3 2" xfId="3037"/>
    <cellStyle name="Финансовый 4 3 2 5 4" xfId="1959"/>
    <cellStyle name="Финансовый 4 3 2 6" xfId="617"/>
    <cellStyle name="Финансовый 4 3 2 6 2" xfId="2231"/>
    <cellStyle name="Финансовый 4 3 2 7" xfId="1155"/>
    <cellStyle name="Финансовый 4 3 2 7 2" xfId="2769"/>
    <cellStyle name="Финансовый 4 3 2 8" xfId="1691"/>
    <cellStyle name="Финансовый 4 3 3" xfId="139"/>
    <cellStyle name="Финансовый 4 3 3 2" xfId="278"/>
    <cellStyle name="Финансовый 4 3 3 2 2" xfId="546"/>
    <cellStyle name="Финансовый 4 3 3 2 2 2" xfId="1089"/>
    <cellStyle name="Финансовый 4 3 3 2 2 2 2" xfId="2703"/>
    <cellStyle name="Финансовый 4 3 3 2 2 3" xfId="1625"/>
    <cellStyle name="Финансовый 4 3 3 2 2 3 2" xfId="3239"/>
    <cellStyle name="Финансовый 4 3 3 2 2 4" xfId="2161"/>
    <cellStyle name="Финансовый 4 3 3 2 3" xfId="821"/>
    <cellStyle name="Финансовый 4 3 3 2 3 2" xfId="2435"/>
    <cellStyle name="Финансовый 4 3 3 2 4" xfId="1357"/>
    <cellStyle name="Финансовый 4 3 3 2 4 2" xfId="2971"/>
    <cellStyle name="Финансовый 4 3 3 2 5" xfId="1893"/>
    <cellStyle name="Финансовый 4 3 3 3" xfId="414"/>
    <cellStyle name="Финансовый 4 3 3 3 2" xfId="957"/>
    <cellStyle name="Финансовый 4 3 3 3 2 2" xfId="2571"/>
    <cellStyle name="Финансовый 4 3 3 3 3" xfId="1493"/>
    <cellStyle name="Финансовый 4 3 3 3 3 2" xfId="3107"/>
    <cellStyle name="Финансовый 4 3 3 3 4" xfId="2029"/>
    <cellStyle name="Финансовый 4 3 3 4" xfId="689"/>
    <cellStyle name="Финансовый 4 3 3 4 2" xfId="2303"/>
    <cellStyle name="Финансовый 4 3 3 5" xfId="1225"/>
    <cellStyle name="Финансовый 4 3 3 5 2" xfId="2839"/>
    <cellStyle name="Финансовый 4 3 3 6" xfId="1761"/>
    <cellStyle name="Финансовый 4 3 4" xfId="91"/>
    <cellStyle name="Финансовый 4 3 4 2" xfId="233"/>
    <cellStyle name="Финансовый 4 3 4 2 2" xfId="502"/>
    <cellStyle name="Финансовый 4 3 4 2 2 2" xfId="1045"/>
    <cellStyle name="Финансовый 4 3 4 2 2 2 2" xfId="2659"/>
    <cellStyle name="Финансовый 4 3 4 2 2 3" xfId="1581"/>
    <cellStyle name="Финансовый 4 3 4 2 2 3 2" xfId="3195"/>
    <cellStyle name="Финансовый 4 3 4 2 2 4" xfId="2117"/>
    <cellStyle name="Финансовый 4 3 4 2 3" xfId="777"/>
    <cellStyle name="Финансовый 4 3 4 2 3 2" xfId="2391"/>
    <cellStyle name="Финансовый 4 3 4 2 4" xfId="1313"/>
    <cellStyle name="Финансовый 4 3 4 2 4 2" xfId="2927"/>
    <cellStyle name="Финансовый 4 3 4 2 5" xfId="1849"/>
    <cellStyle name="Финансовый 4 3 4 3" xfId="370"/>
    <cellStyle name="Финансовый 4 3 4 3 2" xfId="913"/>
    <cellStyle name="Финансовый 4 3 4 3 2 2" xfId="2527"/>
    <cellStyle name="Финансовый 4 3 4 3 3" xfId="1449"/>
    <cellStyle name="Финансовый 4 3 4 3 3 2" xfId="3063"/>
    <cellStyle name="Финансовый 4 3 4 3 4" xfId="1985"/>
    <cellStyle name="Финансовый 4 3 4 4" xfId="644"/>
    <cellStyle name="Финансовый 4 3 4 4 2" xfId="2258"/>
    <cellStyle name="Финансовый 4 3 4 5" xfId="1181"/>
    <cellStyle name="Финансовый 4 3 4 5 2" xfId="2795"/>
    <cellStyle name="Финансовый 4 3 4 6" xfId="1717"/>
    <cellStyle name="Финансовый 4 3 5" xfId="188"/>
    <cellStyle name="Финансовый 4 3 5 2" xfId="458"/>
    <cellStyle name="Финансовый 4 3 5 2 2" xfId="1001"/>
    <cellStyle name="Финансовый 4 3 5 2 2 2" xfId="2615"/>
    <cellStyle name="Финансовый 4 3 5 2 3" xfId="1537"/>
    <cellStyle name="Финансовый 4 3 5 2 3 2" xfId="3151"/>
    <cellStyle name="Финансовый 4 3 5 2 4" xfId="2073"/>
    <cellStyle name="Финансовый 4 3 5 3" xfId="733"/>
    <cellStyle name="Финансовый 4 3 5 3 2" xfId="2347"/>
    <cellStyle name="Финансовый 4 3 5 4" xfId="1269"/>
    <cellStyle name="Финансовый 4 3 5 4 2" xfId="2883"/>
    <cellStyle name="Финансовый 4 3 5 5" xfId="1805"/>
    <cellStyle name="Финансовый 4 3 6" xfId="326"/>
    <cellStyle name="Финансовый 4 3 6 2" xfId="869"/>
    <cellStyle name="Финансовый 4 3 6 2 2" xfId="2483"/>
    <cellStyle name="Финансовый 4 3 6 3" xfId="1405"/>
    <cellStyle name="Финансовый 4 3 6 3 2" xfId="3019"/>
    <cellStyle name="Финансовый 4 3 6 4" xfId="1941"/>
    <cellStyle name="Финансовый 4 3 7" xfId="599"/>
    <cellStyle name="Финансовый 4 3 7 2" xfId="2213"/>
    <cellStyle name="Финансовый 4 3 8" xfId="1137"/>
    <cellStyle name="Финансовый 4 3 8 2" xfId="2751"/>
    <cellStyle name="Финансовый 4 3 9" xfId="1673"/>
    <cellStyle name="Финансовый 4 4" xfId="35"/>
    <cellStyle name="Финансовый 4 4 2" xfId="130"/>
    <cellStyle name="Финансовый 4 4 2 2" xfId="269"/>
    <cellStyle name="Финансовый 4 4 2 2 2" xfId="538"/>
    <cellStyle name="Финансовый 4 4 2 2 2 2" xfId="1081"/>
    <cellStyle name="Финансовый 4 4 2 2 2 2 2" xfId="2695"/>
    <cellStyle name="Финансовый 4 4 2 2 2 3" xfId="1617"/>
    <cellStyle name="Финансовый 4 4 2 2 2 3 2" xfId="3231"/>
    <cellStyle name="Финансовый 4 4 2 2 2 4" xfId="2153"/>
    <cellStyle name="Финансовый 4 4 2 2 3" xfId="813"/>
    <cellStyle name="Финансовый 4 4 2 2 3 2" xfId="2427"/>
    <cellStyle name="Финансовый 4 4 2 2 4" xfId="1349"/>
    <cellStyle name="Финансовый 4 4 2 2 4 2" xfId="2963"/>
    <cellStyle name="Финансовый 4 4 2 2 5" xfId="1885"/>
    <cellStyle name="Финансовый 4 4 2 3" xfId="406"/>
    <cellStyle name="Финансовый 4 4 2 3 2" xfId="949"/>
    <cellStyle name="Финансовый 4 4 2 3 2 2" xfId="2563"/>
    <cellStyle name="Финансовый 4 4 2 3 3" xfId="1485"/>
    <cellStyle name="Финансовый 4 4 2 3 3 2" xfId="3099"/>
    <cellStyle name="Финансовый 4 4 2 3 4" xfId="2021"/>
    <cellStyle name="Финансовый 4 4 2 4" xfId="680"/>
    <cellStyle name="Финансовый 4 4 2 4 2" xfId="2294"/>
    <cellStyle name="Финансовый 4 4 2 5" xfId="1217"/>
    <cellStyle name="Финансовый 4 4 2 5 2" xfId="2831"/>
    <cellStyle name="Финансовый 4 4 2 6" xfId="1753"/>
    <cellStyle name="Финансовый 4 4 3" xfId="82"/>
    <cellStyle name="Финансовый 4 4 3 2" xfId="224"/>
    <cellStyle name="Финансовый 4 4 3 2 2" xfId="494"/>
    <cellStyle name="Финансовый 4 4 3 2 2 2" xfId="1037"/>
    <cellStyle name="Финансовый 4 4 3 2 2 2 2" xfId="2651"/>
    <cellStyle name="Финансовый 4 4 3 2 2 3" xfId="1573"/>
    <cellStyle name="Финансовый 4 4 3 2 2 3 2" xfId="3187"/>
    <cellStyle name="Финансовый 4 4 3 2 2 4" xfId="2109"/>
    <cellStyle name="Финансовый 4 4 3 2 3" xfId="769"/>
    <cellStyle name="Финансовый 4 4 3 2 3 2" xfId="2383"/>
    <cellStyle name="Финансовый 4 4 3 2 4" xfId="1305"/>
    <cellStyle name="Финансовый 4 4 3 2 4 2" xfId="2919"/>
    <cellStyle name="Финансовый 4 4 3 2 5" xfId="1841"/>
    <cellStyle name="Финансовый 4 4 3 3" xfId="362"/>
    <cellStyle name="Финансовый 4 4 3 3 2" xfId="905"/>
    <cellStyle name="Финансовый 4 4 3 3 2 2" xfId="2519"/>
    <cellStyle name="Финансовый 4 4 3 3 3" xfId="1441"/>
    <cellStyle name="Финансовый 4 4 3 3 3 2" xfId="3055"/>
    <cellStyle name="Финансовый 4 4 3 3 4" xfId="1977"/>
    <cellStyle name="Финансовый 4 4 3 4" xfId="635"/>
    <cellStyle name="Финансовый 4 4 3 4 2" xfId="2249"/>
    <cellStyle name="Финансовый 4 4 3 5" xfId="1173"/>
    <cellStyle name="Финансовый 4 4 3 5 2" xfId="2787"/>
    <cellStyle name="Финансовый 4 4 3 6" xfId="1709"/>
    <cellStyle name="Финансовый 4 4 4" xfId="179"/>
    <cellStyle name="Финансовый 4 4 4 2" xfId="450"/>
    <cellStyle name="Финансовый 4 4 4 2 2" xfId="993"/>
    <cellStyle name="Финансовый 4 4 4 2 2 2" xfId="2607"/>
    <cellStyle name="Финансовый 4 4 4 2 3" xfId="1529"/>
    <cellStyle name="Финансовый 4 4 4 2 3 2" xfId="3143"/>
    <cellStyle name="Финансовый 4 4 4 2 4" xfId="2065"/>
    <cellStyle name="Финансовый 4 4 4 3" xfId="725"/>
    <cellStyle name="Финансовый 4 4 4 3 2" xfId="2339"/>
    <cellStyle name="Финансовый 4 4 4 4" xfId="1261"/>
    <cellStyle name="Финансовый 4 4 4 4 2" xfId="2875"/>
    <cellStyle name="Финансовый 4 4 4 5" xfId="1797"/>
    <cellStyle name="Финансовый 4 4 5" xfId="318"/>
    <cellStyle name="Финансовый 4 4 5 2" xfId="861"/>
    <cellStyle name="Финансовый 4 4 5 2 2" xfId="2475"/>
    <cellStyle name="Финансовый 4 4 5 3" xfId="1397"/>
    <cellStyle name="Финансовый 4 4 5 3 2" xfId="3011"/>
    <cellStyle name="Финансовый 4 4 5 4" xfId="1933"/>
    <cellStyle name="Финансовый 4 4 6" xfId="590"/>
    <cellStyle name="Финансовый 4 4 6 2" xfId="2204"/>
    <cellStyle name="Финансовый 4 4 7" xfId="1129"/>
    <cellStyle name="Финансовый 4 4 7 2" xfId="2743"/>
    <cellStyle name="Финансовый 4 4 8" xfId="1665"/>
    <cellStyle name="Финансовый 4 5" xfId="53"/>
    <cellStyle name="Финансовый 4 5 2" xfId="148"/>
    <cellStyle name="Финансовый 4 5 2 2" xfId="287"/>
    <cellStyle name="Финансовый 4 5 2 2 2" xfId="555"/>
    <cellStyle name="Финансовый 4 5 2 2 2 2" xfId="1098"/>
    <cellStyle name="Финансовый 4 5 2 2 2 2 2" xfId="2712"/>
    <cellStyle name="Финансовый 4 5 2 2 2 3" xfId="1634"/>
    <cellStyle name="Финансовый 4 5 2 2 2 3 2" xfId="3248"/>
    <cellStyle name="Финансовый 4 5 2 2 2 4" xfId="2170"/>
    <cellStyle name="Финансовый 4 5 2 2 3" xfId="830"/>
    <cellStyle name="Финансовый 4 5 2 2 3 2" xfId="2444"/>
    <cellStyle name="Финансовый 4 5 2 2 4" xfId="1366"/>
    <cellStyle name="Финансовый 4 5 2 2 4 2" xfId="2980"/>
    <cellStyle name="Финансовый 4 5 2 2 5" xfId="1902"/>
    <cellStyle name="Финансовый 4 5 2 3" xfId="423"/>
    <cellStyle name="Финансовый 4 5 2 3 2" xfId="966"/>
    <cellStyle name="Финансовый 4 5 2 3 2 2" xfId="2580"/>
    <cellStyle name="Финансовый 4 5 2 3 3" xfId="1502"/>
    <cellStyle name="Финансовый 4 5 2 3 3 2" xfId="3116"/>
    <cellStyle name="Финансовый 4 5 2 3 4" xfId="2038"/>
    <cellStyle name="Финансовый 4 5 2 4" xfId="698"/>
    <cellStyle name="Финансовый 4 5 2 4 2" xfId="2312"/>
    <cellStyle name="Финансовый 4 5 2 5" xfId="1234"/>
    <cellStyle name="Финансовый 4 5 2 5 2" xfId="2848"/>
    <cellStyle name="Финансовый 4 5 2 6" xfId="1770"/>
    <cellStyle name="Финансовый 4 5 3" xfId="100"/>
    <cellStyle name="Финансовый 4 5 3 2" xfId="242"/>
    <cellStyle name="Финансовый 4 5 3 2 2" xfId="511"/>
    <cellStyle name="Финансовый 4 5 3 2 2 2" xfId="1054"/>
    <cellStyle name="Финансовый 4 5 3 2 2 2 2" xfId="2668"/>
    <cellStyle name="Финансовый 4 5 3 2 2 3" xfId="1590"/>
    <cellStyle name="Финансовый 4 5 3 2 2 3 2" xfId="3204"/>
    <cellStyle name="Финансовый 4 5 3 2 2 4" xfId="2126"/>
    <cellStyle name="Финансовый 4 5 3 2 3" xfId="786"/>
    <cellStyle name="Финансовый 4 5 3 2 3 2" xfId="2400"/>
    <cellStyle name="Финансовый 4 5 3 2 4" xfId="1322"/>
    <cellStyle name="Финансовый 4 5 3 2 4 2" xfId="2936"/>
    <cellStyle name="Финансовый 4 5 3 2 5" xfId="1858"/>
    <cellStyle name="Финансовый 4 5 3 3" xfId="379"/>
    <cellStyle name="Финансовый 4 5 3 3 2" xfId="922"/>
    <cellStyle name="Финансовый 4 5 3 3 2 2" xfId="2536"/>
    <cellStyle name="Финансовый 4 5 3 3 3" xfId="1458"/>
    <cellStyle name="Финансовый 4 5 3 3 3 2" xfId="3072"/>
    <cellStyle name="Финансовый 4 5 3 3 4" xfId="1994"/>
    <cellStyle name="Финансовый 4 5 3 4" xfId="653"/>
    <cellStyle name="Финансовый 4 5 3 4 2" xfId="2267"/>
    <cellStyle name="Финансовый 4 5 3 5" xfId="1190"/>
    <cellStyle name="Финансовый 4 5 3 5 2" xfId="2804"/>
    <cellStyle name="Финансовый 4 5 3 6" xfId="1726"/>
    <cellStyle name="Финансовый 4 5 4" xfId="197"/>
    <cellStyle name="Финансовый 4 5 4 2" xfId="467"/>
    <cellStyle name="Финансовый 4 5 4 2 2" xfId="1010"/>
    <cellStyle name="Финансовый 4 5 4 2 2 2" xfId="2624"/>
    <cellStyle name="Финансовый 4 5 4 2 3" xfId="1546"/>
    <cellStyle name="Финансовый 4 5 4 2 3 2" xfId="3160"/>
    <cellStyle name="Финансовый 4 5 4 2 4" xfId="2082"/>
    <cellStyle name="Финансовый 4 5 4 3" xfId="742"/>
    <cellStyle name="Финансовый 4 5 4 3 2" xfId="2356"/>
    <cellStyle name="Финансовый 4 5 4 4" xfId="1278"/>
    <cellStyle name="Финансовый 4 5 4 4 2" xfId="2892"/>
    <cellStyle name="Финансовый 4 5 4 5" xfId="1814"/>
    <cellStyle name="Финансовый 4 5 5" xfId="335"/>
    <cellStyle name="Финансовый 4 5 5 2" xfId="878"/>
    <cellStyle name="Финансовый 4 5 5 2 2" xfId="2492"/>
    <cellStyle name="Финансовый 4 5 5 3" xfId="1414"/>
    <cellStyle name="Финансовый 4 5 5 3 2" xfId="3028"/>
    <cellStyle name="Финансовый 4 5 5 4" xfId="1950"/>
    <cellStyle name="Финансовый 4 5 6" xfId="608"/>
    <cellStyle name="Финансовый 4 5 6 2" xfId="2222"/>
    <cellStyle name="Финансовый 4 5 7" xfId="1146"/>
    <cellStyle name="Финансовый 4 5 7 2" xfId="2760"/>
    <cellStyle name="Финансовый 4 5 8" xfId="1682"/>
    <cellStyle name="Финансовый 4 6" xfId="119"/>
    <cellStyle name="Финансовый 4 6 2" xfId="260"/>
    <cellStyle name="Финансовый 4 6 2 2" xfId="529"/>
    <cellStyle name="Финансовый 4 6 2 2 2" xfId="1072"/>
    <cellStyle name="Финансовый 4 6 2 2 2 2" xfId="2686"/>
    <cellStyle name="Финансовый 4 6 2 2 3" xfId="1608"/>
    <cellStyle name="Финансовый 4 6 2 2 3 2" xfId="3222"/>
    <cellStyle name="Финансовый 4 6 2 2 4" xfId="2144"/>
    <cellStyle name="Финансовый 4 6 2 3" xfId="804"/>
    <cellStyle name="Финансовый 4 6 2 3 2" xfId="2418"/>
    <cellStyle name="Финансовый 4 6 2 4" xfId="1340"/>
    <cellStyle name="Финансовый 4 6 2 4 2" xfId="2954"/>
    <cellStyle name="Финансовый 4 6 2 5" xfId="1876"/>
    <cellStyle name="Финансовый 4 6 3" xfId="397"/>
    <cellStyle name="Финансовый 4 6 3 2" xfId="940"/>
    <cellStyle name="Финансовый 4 6 3 2 2" xfId="2554"/>
    <cellStyle name="Финансовый 4 6 3 3" xfId="1476"/>
    <cellStyle name="Финансовый 4 6 3 3 2" xfId="3090"/>
    <cellStyle name="Финансовый 4 6 3 4" xfId="2012"/>
    <cellStyle name="Финансовый 4 6 4" xfId="671"/>
    <cellStyle name="Финансовый 4 6 4 2" xfId="2285"/>
    <cellStyle name="Финансовый 4 6 5" xfId="1208"/>
    <cellStyle name="Финансовый 4 6 5 2" xfId="2822"/>
    <cellStyle name="Финансовый 4 6 6" xfId="1744"/>
    <cellStyle name="Финансовый 4 7" xfId="71"/>
    <cellStyle name="Финансовый 4 7 2" xfId="215"/>
    <cellStyle name="Финансовый 4 7 2 2" xfId="485"/>
    <cellStyle name="Финансовый 4 7 2 2 2" xfId="1028"/>
    <cellStyle name="Финансовый 4 7 2 2 2 2" xfId="2642"/>
    <cellStyle name="Финансовый 4 7 2 2 3" xfId="1564"/>
    <cellStyle name="Финансовый 4 7 2 2 3 2" xfId="3178"/>
    <cellStyle name="Финансовый 4 7 2 2 4" xfId="2100"/>
    <cellStyle name="Финансовый 4 7 2 3" xfId="760"/>
    <cellStyle name="Финансовый 4 7 2 3 2" xfId="2374"/>
    <cellStyle name="Финансовый 4 7 2 4" xfId="1296"/>
    <cellStyle name="Финансовый 4 7 2 4 2" xfId="2910"/>
    <cellStyle name="Финансовый 4 7 2 5" xfId="1832"/>
    <cellStyle name="Финансовый 4 7 3" xfId="353"/>
    <cellStyle name="Финансовый 4 7 3 2" xfId="896"/>
    <cellStyle name="Финансовый 4 7 3 2 2" xfId="2510"/>
    <cellStyle name="Финансовый 4 7 3 3" xfId="1432"/>
    <cellStyle name="Финансовый 4 7 3 3 2" xfId="3046"/>
    <cellStyle name="Финансовый 4 7 3 4" xfId="1968"/>
    <cellStyle name="Финансовый 4 7 4" xfId="626"/>
    <cellStyle name="Финансовый 4 7 4 2" xfId="2240"/>
    <cellStyle name="Финансовый 4 7 5" xfId="1164"/>
    <cellStyle name="Финансовый 4 7 5 2" xfId="2778"/>
    <cellStyle name="Финансовый 4 7 6" xfId="1700"/>
    <cellStyle name="Финансовый 4 8" xfId="167"/>
    <cellStyle name="Финансовый 4 8 2" xfId="441"/>
    <cellStyle name="Финансовый 4 8 2 2" xfId="984"/>
    <cellStyle name="Финансовый 4 8 2 2 2" xfId="2598"/>
    <cellStyle name="Финансовый 4 8 2 3" xfId="1520"/>
    <cellStyle name="Финансовый 4 8 2 3 2" xfId="3134"/>
    <cellStyle name="Финансовый 4 8 2 4" xfId="2056"/>
    <cellStyle name="Финансовый 4 8 3" xfId="716"/>
    <cellStyle name="Финансовый 4 8 3 2" xfId="2330"/>
    <cellStyle name="Финансовый 4 8 4" xfId="1252"/>
    <cellStyle name="Финансовый 4 8 4 2" xfId="2866"/>
    <cellStyle name="Финансовый 4 8 5" xfId="1788"/>
    <cellStyle name="Финансовый 4 9" xfId="309"/>
    <cellStyle name="Финансовый 4 9 2" xfId="852"/>
    <cellStyle name="Финансовый 4 9 2 2" xfId="2466"/>
    <cellStyle name="Финансовый 4 9 3" xfId="1388"/>
    <cellStyle name="Финансовый 4 9 3 2" xfId="3002"/>
    <cellStyle name="Финансовый 4 9 4" xfId="1924"/>
    <cellStyle name="Финансовый 5" xfId="163"/>
  </cellStyles>
  <dxfs count="17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rgb="FFFFFF0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42" Type="http://schemas.openxmlformats.org/officeDocument/2006/relationships/image" Target="../media/image43.jp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jpg"/><Relationship Id="rId29" Type="http://schemas.openxmlformats.org/officeDocument/2006/relationships/image" Target="../media/image30.emf"/><Relationship Id="rId11" Type="http://schemas.openxmlformats.org/officeDocument/2006/relationships/image" Target="../media/image12.emf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4" Type="http://schemas.openxmlformats.org/officeDocument/2006/relationships/image" Target="../media/image45.jpeg"/><Relationship Id="rId52" Type="http://schemas.openxmlformats.org/officeDocument/2006/relationships/image" Target="../media/image53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jp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jpg"/><Relationship Id="rId49" Type="http://schemas.openxmlformats.org/officeDocument/2006/relationships/image" Target="../media/image5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42</xdr:row>
      <xdr:rowOff>239937</xdr:rowOff>
    </xdr:from>
    <xdr:to>
      <xdr:col>1</xdr:col>
      <xdr:colOff>885826</xdr:colOff>
      <xdr:row>45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53</xdr:row>
      <xdr:rowOff>162578</xdr:rowOff>
    </xdr:from>
    <xdr:to>
      <xdr:col>1</xdr:col>
      <xdr:colOff>863236</xdr:colOff>
      <xdr:row>55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150</xdr:row>
      <xdr:rowOff>41606</xdr:rowOff>
    </xdr:from>
    <xdr:to>
      <xdr:col>1</xdr:col>
      <xdr:colOff>907395</xdr:colOff>
      <xdr:row>150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149</xdr:row>
      <xdr:rowOff>72038</xdr:rowOff>
    </xdr:from>
    <xdr:to>
      <xdr:col>1</xdr:col>
      <xdr:colOff>889131</xdr:colOff>
      <xdr:row>149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152</xdr:row>
      <xdr:rowOff>31146</xdr:rowOff>
    </xdr:from>
    <xdr:to>
      <xdr:col>1</xdr:col>
      <xdr:colOff>839035</xdr:colOff>
      <xdr:row>153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122</xdr:row>
      <xdr:rowOff>90765</xdr:rowOff>
    </xdr:from>
    <xdr:to>
      <xdr:col>1</xdr:col>
      <xdr:colOff>781050</xdr:colOff>
      <xdr:row>124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132</xdr:row>
      <xdr:rowOff>32740</xdr:rowOff>
    </xdr:from>
    <xdr:to>
      <xdr:col>1</xdr:col>
      <xdr:colOff>847854</xdr:colOff>
      <xdr:row>132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35</xdr:row>
      <xdr:rowOff>38190</xdr:rowOff>
    </xdr:from>
    <xdr:to>
      <xdr:col>1</xdr:col>
      <xdr:colOff>723062</xdr:colOff>
      <xdr:row>37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101</xdr:row>
      <xdr:rowOff>150645</xdr:rowOff>
    </xdr:from>
    <xdr:to>
      <xdr:col>1</xdr:col>
      <xdr:colOff>789000</xdr:colOff>
      <xdr:row>103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157</xdr:row>
      <xdr:rowOff>43815</xdr:rowOff>
    </xdr:from>
    <xdr:to>
      <xdr:col>1</xdr:col>
      <xdr:colOff>801759</xdr:colOff>
      <xdr:row>157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105</xdr:row>
      <xdr:rowOff>228634</xdr:rowOff>
    </xdr:from>
    <xdr:to>
      <xdr:col>1</xdr:col>
      <xdr:colOff>841992</xdr:colOff>
      <xdr:row>107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151</xdr:row>
      <xdr:rowOff>36487</xdr:rowOff>
    </xdr:from>
    <xdr:to>
      <xdr:col>1</xdr:col>
      <xdr:colOff>804784</xdr:colOff>
      <xdr:row>151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148</xdr:row>
      <xdr:rowOff>99806</xdr:rowOff>
    </xdr:from>
    <xdr:to>
      <xdr:col>1</xdr:col>
      <xdr:colOff>961332</xdr:colOff>
      <xdr:row>148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156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163</xdr:row>
      <xdr:rowOff>94421</xdr:rowOff>
    </xdr:from>
    <xdr:to>
      <xdr:col>1</xdr:col>
      <xdr:colOff>1242040</xdr:colOff>
      <xdr:row>164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153</xdr:row>
      <xdr:rowOff>152400</xdr:rowOff>
    </xdr:from>
    <xdr:to>
      <xdr:col>1</xdr:col>
      <xdr:colOff>762000</xdr:colOff>
      <xdr:row>155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147</xdr:row>
      <xdr:rowOff>44728</xdr:rowOff>
    </xdr:from>
    <xdr:to>
      <xdr:col>1</xdr:col>
      <xdr:colOff>869674</xdr:colOff>
      <xdr:row>147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315898</xdr:colOff>
      <xdr:row>68</xdr:row>
      <xdr:rowOff>160020</xdr:rowOff>
    </xdr:from>
    <xdr:to>
      <xdr:col>1</xdr:col>
      <xdr:colOff>880286</xdr:colOff>
      <xdr:row>71</xdr:row>
      <xdr:rowOff>82994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78" y="1709166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160</xdr:row>
      <xdr:rowOff>41416</xdr:rowOff>
    </xdr:from>
    <xdr:to>
      <xdr:col>1</xdr:col>
      <xdr:colOff>728881</xdr:colOff>
      <xdr:row>160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161</xdr:row>
      <xdr:rowOff>41416</xdr:rowOff>
    </xdr:from>
    <xdr:to>
      <xdr:col>1</xdr:col>
      <xdr:colOff>861082</xdr:colOff>
      <xdr:row>161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163</xdr:row>
      <xdr:rowOff>20543</xdr:rowOff>
    </xdr:from>
    <xdr:to>
      <xdr:col>1</xdr:col>
      <xdr:colOff>775833</xdr:colOff>
      <xdr:row>164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159</xdr:row>
      <xdr:rowOff>38101</xdr:rowOff>
    </xdr:from>
    <xdr:to>
      <xdr:col>1</xdr:col>
      <xdr:colOff>794128</xdr:colOff>
      <xdr:row>159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104</xdr:row>
      <xdr:rowOff>104775</xdr:rowOff>
    </xdr:from>
    <xdr:to>
      <xdr:col>1</xdr:col>
      <xdr:colOff>904875</xdr:colOff>
      <xdr:row>104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137</xdr:row>
      <xdr:rowOff>76201</xdr:rowOff>
    </xdr:from>
    <xdr:to>
      <xdr:col>1</xdr:col>
      <xdr:colOff>942975</xdr:colOff>
      <xdr:row>137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112</xdr:row>
      <xdr:rowOff>131446</xdr:rowOff>
    </xdr:from>
    <xdr:to>
      <xdr:col>1</xdr:col>
      <xdr:colOff>990600</xdr:colOff>
      <xdr:row>114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115</xdr:row>
      <xdr:rowOff>30481</xdr:rowOff>
    </xdr:from>
    <xdr:to>
      <xdr:col>1</xdr:col>
      <xdr:colOff>1019714</xdr:colOff>
      <xdr:row>117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133</xdr:row>
      <xdr:rowOff>101845</xdr:rowOff>
    </xdr:from>
    <xdr:to>
      <xdr:col>1</xdr:col>
      <xdr:colOff>886558</xdr:colOff>
      <xdr:row>135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118</xdr:row>
      <xdr:rowOff>46893</xdr:rowOff>
    </xdr:from>
    <xdr:to>
      <xdr:col>1</xdr:col>
      <xdr:colOff>790575</xdr:colOff>
      <xdr:row>118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144</xdr:row>
      <xdr:rowOff>87923</xdr:rowOff>
    </xdr:from>
    <xdr:to>
      <xdr:col>1</xdr:col>
      <xdr:colOff>921929</xdr:colOff>
      <xdr:row>146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139</xdr:row>
      <xdr:rowOff>178777</xdr:rowOff>
    </xdr:from>
    <xdr:to>
      <xdr:col>1</xdr:col>
      <xdr:colOff>971551</xdr:colOff>
      <xdr:row>141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158</xdr:row>
      <xdr:rowOff>43669</xdr:rowOff>
    </xdr:from>
    <xdr:to>
      <xdr:col>1</xdr:col>
      <xdr:colOff>754350</xdr:colOff>
      <xdr:row>158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172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175</xdr:row>
      <xdr:rowOff>34161</xdr:rowOff>
    </xdr:from>
    <xdr:to>
      <xdr:col>1</xdr:col>
      <xdr:colOff>852045</xdr:colOff>
      <xdr:row>175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176</xdr:row>
      <xdr:rowOff>49341</xdr:rowOff>
    </xdr:from>
    <xdr:to>
      <xdr:col>1</xdr:col>
      <xdr:colOff>819150</xdr:colOff>
      <xdr:row>176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177</xdr:row>
      <xdr:rowOff>85727</xdr:rowOff>
    </xdr:from>
    <xdr:to>
      <xdr:col>1</xdr:col>
      <xdr:colOff>833003</xdr:colOff>
      <xdr:row>177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178</xdr:row>
      <xdr:rowOff>67034</xdr:rowOff>
    </xdr:from>
    <xdr:to>
      <xdr:col>1</xdr:col>
      <xdr:colOff>1101280</xdr:colOff>
      <xdr:row>178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179</xdr:row>
      <xdr:rowOff>127186</xdr:rowOff>
    </xdr:from>
    <xdr:to>
      <xdr:col>1</xdr:col>
      <xdr:colOff>1051560</xdr:colOff>
      <xdr:row>180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181</xdr:row>
      <xdr:rowOff>158115</xdr:rowOff>
    </xdr:from>
    <xdr:to>
      <xdr:col>1</xdr:col>
      <xdr:colOff>891540</xdr:colOff>
      <xdr:row>184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78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86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185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108</xdr:row>
      <xdr:rowOff>129540</xdr:rowOff>
    </xdr:from>
    <xdr:to>
      <xdr:col>1</xdr:col>
      <xdr:colOff>928994</xdr:colOff>
      <xdr:row>111</xdr:row>
      <xdr:rowOff>121920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125</xdr:row>
      <xdr:rowOff>83820</xdr:rowOff>
    </xdr:from>
    <xdr:to>
      <xdr:col>1</xdr:col>
      <xdr:colOff>979170</xdr:colOff>
      <xdr:row>128</xdr:row>
      <xdr:rowOff>76200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91</xdr:row>
      <xdr:rowOff>83820</xdr:rowOff>
    </xdr:from>
    <xdr:ext cx="624840" cy="736419"/>
    <xdr:pic>
      <xdr:nvPicPr>
        <xdr:cNvPr id="5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166</xdr:row>
      <xdr:rowOff>85725</xdr:rowOff>
    </xdr:from>
    <xdr:to>
      <xdr:col>1</xdr:col>
      <xdr:colOff>864436</xdr:colOff>
      <xdr:row>167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118</xdr:row>
      <xdr:rowOff>53340</xdr:rowOff>
    </xdr:from>
    <xdr:to>
      <xdr:col>1</xdr:col>
      <xdr:colOff>377058</xdr:colOff>
      <xdr:row>118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129</xdr:row>
      <xdr:rowOff>15242</xdr:rowOff>
    </xdr:from>
    <xdr:to>
      <xdr:col>1</xdr:col>
      <xdr:colOff>822960</xdr:colOff>
      <xdr:row>129</xdr:row>
      <xdr:rowOff>445282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130</xdr:row>
      <xdr:rowOff>38101</xdr:rowOff>
    </xdr:from>
    <xdr:to>
      <xdr:col>1</xdr:col>
      <xdr:colOff>853440</xdr:colOff>
      <xdr:row>130</xdr:row>
      <xdr:rowOff>432977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320041</xdr:colOff>
      <xdr:row>131</xdr:row>
      <xdr:rowOff>22860</xdr:rowOff>
    </xdr:from>
    <xdr:to>
      <xdr:col>1</xdr:col>
      <xdr:colOff>914400</xdr:colOff>
      <xdr:row>131</xdr:row>
      <xdr:rowOff>461416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8621" y="27492960"/>
          <a:ext cx="594359" cy="43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119</xdr:row>
      <xdr:rowOff>152400</xdr:rowOff>
    </xdr:from>
    <xdr:to>
      <xdr:col>1</xdr:col>
      <xdr:colOff>876300</xdr:colOff>
      <xdr:row>121</xdr:row>
      <xdr:rowOff>92950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168</xdr:row>
      <xdr:rowOff>137160</xdr:rowOff>
    </xdr:from>
    <xdr:to>
      <xdr:col>1</xdr:col>
      <xdr:colOff>1104901</xdr:colOff>
      <xdr:row>170</xdr:row>
      <xdr:rowOff>149605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186</xdr:row>
      <xdr:rowOff>220980</xdr:rowOff>
    </xdr:from>
    <xdr:to>
      <xdr:col>1</xdr:col>
      <xdr:colOff>1194423</xdr:colOff>
      <xdr:row>189</xdr:row>
      <xdr:rowOff>7619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83446</xdr:colOff>
      <xdr:row>33</xdr:row>
      <xdr:rowOff>113197</xdr:rowOff>
    </xdr:from>
    <xdr:to>
      <xdr:col>1</xdr:col>
      <xdr:colOff>1196340</xdr:colOff>
      <xdr:row>34</xdr:row>
      <xdr:rowOff>98407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590138" y="7828485"/>
          <a:ext cx="236670" cy="11128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1"/>
    <pageSetUpPr fitToPage="1"/>
  </sheetPr>
  <dimension ref="A1:CI150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42.109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.77734375" style="1" hidden="1" customWidth="1"/>
    <col min="19" max="19" width="24.77734375" style="1" hidden="1" customWidth="1"/>
    <col min="20" max="32" width="11.77734375" style="1" hidden="1" customWidth="1"/>
    <col min="33" max="33" width="14.77734375" style="1" hidden="1" customWidth="1"/>
    <col min="34" max="46" width="12.109375" style="1" hidden="1" customWidth="1"/>
    <col min="47" max="48" width="12.77734375" style="1" hidden="1" customWidth="1"/>
    <col min="49" max="52" width="10.109375" style="54" hidden="1" customWidth="1"/>
    <col min="53" max="53" width="13.5546875" style="54" hidden="1" customWidth="1"/>
    <col min="54" max="54" width="12.77734375" style="54" hidden="1" customWidth="1"/>
    <col min="55" max="62" width="10.109375" style="54" hidden="1" customWidth="1"/>
    <col min="63" max="63" width="12.77734375" style="54" hidden="1" customWidth="1"/>
    <col min="64" max="68" width="8.88671875" style="1" hidden="1" customWidth="1"/>
    <col min="69" max="71" width="16.44140625" style="1" hidden="1" customWidth="1"/>
    <col min="72" max="72" width="13.5546875" style="1" hidden="1" customWidth="1"/>
    <col min="73" max="73" width="29.88671875" style="1" hidden="1" customWidth="1"/>
    <col min="74" max="79" width="8.88671875" style="1" hidden="1" customWidth="1"/>
    <col min="80" max="80" width="17.44140625" style="1" hidden="1" customWidth="1"/>
    <col min="81" max="81" width="24.6640625" style="1" hidden="1" customWidth="1"/>
    <col min="82" max="82" width="18.5546875" style="1" hidden="1" customWidth="1"/>
    <col min="83" max="87" width="8.88671875" style="1" hidden="1" customWidth="1"/>
    <col min="88" max="88" width="8.88671875" style="1" customWidth="1"/>
    <col min="89" max="16384" width="8.88671875" style="1"/>
  </cols>
  <sheetData>
    <row r="1" spans="2:87" ht="25.05" customHeight="1" x14ac:dyDescent="0.3">
      <c r="B1" s="574" t="s">
        <v>104</v>
      </c>
      <c r="C1" s="574"/>
      <c r="D1" s="574"/>
      <c r="E1" s="574"/>
      <c r="F1" s="574"/>
      <c r="G1" s="574"/>
      <c r="H1" s="574"/>
      <c r="I1" s="149"/>
      <c r="J1" s="574" t="s">
        <v>105</v>
      </c>
      <c r="K1" s="574"/>
      <c r="L1" s="574"/>
      <c r="M1" s="574"/>
      <c r="N1" s="574"/>
      <c r="O1" s="574"/>
      <c r="P1" s="244"/>
      <c r="Q1" s="203"/>
      <c r="R1" s="203"/>
      <c r="S1" s="203"/>
    </row>
    <row r="2" spans="2:87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22"/>
      <c r="BK2" s="54" t="s">
        <v>515</v>
      </c>
      <c r="BL2" s="54"/>
    </row>
    <row r="3" spans="2:87" s="4" customFormat="1" ht="25.05" customHeight="1" thickBot="1" x14ac:dyDescent="0.35">
      <c r="B3" s="575" t="s">
        <v>465</v>
      </c>
      <c r="C3" s="576"/>
      <c r="D3" s="576"/>
      <c r="E3" s="583">
        <v>2600</v>
      </c>
      <c r="F3" s="583"/>
      <c r="G3" s="583"/>
      <c r="H3" s="584"/>
      <c r="J3" s="592" t="s">
        <v>263</v>
      </c>
      <c r="K3" s="593"/>
      <c r="L3" s="3"/>
      <c r="M3" s="3"/>
      <c r="N3" s="421"/>
      <c r="O3" s="421"/>
      <c r="P3" s="326"/>
      <c r="Q3" s="3"/>
      <c r="R3" s="3"/>
      <c r="S3" s="3"/>
      <c r="V3" s="557" t="s">
        <v>417</v>
      </c>
      <c r="W3" s="558"/>
      <c r="X3" s="559"/>
      <c r="Y3" s="560" t="s">
        <v>418</v>
      </c>
      <c r="Z3" s="56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Z3" s="3"/>
      <c r="BA3" s="3"/>
      <c r="BB3" s="3"/>
      <c r="BC3" s="3"/>
      <c r="BD3" s="241" t="s">
        <v>418</v>
      </c>
      <c r="BE3" s="3"/>
      <c r="BF3" s="3"/>
      <c r="BG3" s="3"/>
      <c r="BH3" s="3"/>
      <c r="BI3" s="3"/>
      <c r="BJ3" s="423"/>
      <c r="BK3" s="3" t="s">
        <v>516</v>
      </c>
      <c r="BL3" s="3"/>
    </row>
    <row r="4" spans="2:87" ht="25.05" customHeight="1" x14ac:dyDescent="0.3">
      <c r="B4" s="577" t="s">
        <v>120</v>
      </c>
      <c r="C4" s="578"/>
      <c r="D4" s="578"/>
      <c r="E4" s="585">
        <v>3600</v>
      </c>
      <c r="F4" s="585"/>
      <c r="G4" s="585"/>
      <c r="H4" s="586"/>
      <c r="J4" s="21" t="s">
        <v>20</v>
      </c>
      <c r="K4" s="291">
        <f>IF(OR(E8=BU6,E8=BU7),E3+100-82,E3-82)</f>
        <v>2518</v>
      </c>
      <c r="L4" s="6"/>
      <c r="M4" s="6"/>
      <c r="P4" s="6"/>
      <c r="Q4" s="533" t="s">
        <v>453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</row>
    <row r="5" spans="2:87" ht="25.05" customHeight="1" thickBot="1" x14ac:dyDescent="0.35">
      <c r="B5" s="577" t="s">
        <v>442</v>
      </c>
      <c r="C5" s="578"/>
      <c r="D5" s="578"/>
      <c r="E5" s="525">
        <v>0</v>
      </c>
      <c r="F5" s="525"/>
      <c r="G5" s="525"/>
      <c r="H5" s="526"/>
      <c r="J5" s="150" t="s">
        <v>21</v>
      </c>
      <c r="K5" s="292">
        <f>ROUNDUP(IF(E8=BU6,E4+24,
IF(OR(E8=BU7,E8=BU8),(E4-IF(OR(E13=BU38,E13=BU39),10,0))/2+12,
IF(E8=BU9,(E4-IF(OR(E13=BU38,E13=BU39),10,0)+12)/2,
IF(AND(E8=BU10,E10&gt;1),(E4-IF(OR(E13=BU38,E13=BU39),5,0)+12+(E10-1)*12)/E10,
IF(AND(OR(E8=BU12,E8=BU11),E10&gt;1),(E4-IF(OR(E13=BU38,E13=BU39),10,0)+(E10-1)*12)/E10,
IF(OR(E8=BU14,E8=BU13),(E4-IF(OR(E13=BU38,E13=BU39),15,0)+24)/4,0)))))),0)</f>
        <v>909</v>
      </c>
      <c r="L5" s="5"/>
      <c r="M5" s="5"/>
      <c r="N5" s="6"/>
      <c r="O5" s="6"/>
      <c r="P5" s="327"/>
      <c r="Q5" s="534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141" t="s">
        <v>577</v>
      </c>
      <c r="AZ5" s="141"/>
      <c r="BA5" s="141"/>
      <c r="BB5" s="185">
        <v>5350</v>
      </c>
      <c r="BC5" s="185"/>
      <c r="BD5" s="185"/>
      <c r="BE5" s="185"/>
      <c r="BF5" s="185"/>
      <c r="BG5" s="185"/>
      <c r="BH5" s="185"/>
      <c r="BI5" s="185"/>
      <c r="BJ5" s="185"/>
      <c r="BK5" s="185"/>
      <c r="BL5" s="186"/>
      <c r="BM5" s="186"/>
      <c r="BN5" s="186"/>
      <c r="BO5" s="186"/>
      <c r="BP5" s="186"/>
      <c r="BQ5" s="186"/>
      <c r="BR5" s="6"/>
      <c r="BS5" s="6"/>
      <c r="BT5" s="6"/>
    </row>
    <row r="6" spans="2:87" ht="25.05" customHeight="1" thickBot="1" x14ac:dyDescent="0.35">
      <c r="B6" s="577" t="s">
        <v>546</v>
      </c>
      <c r="C6" s="578"/>
      <c r="D6" s="578"/>
      <c r="E6" s="525">
        <v>0</v>
      </c>
      <c r="F6" s="525"/>
      <c r="G6" s="525"/>
      <c r="H6" s="526"/>
      <c r="J6" s="594"/>
      <c r="K6" s="594"/>
      <c r="L6" s="594"/>
      <c r="M6" s="59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93"/>
      <c r="AI6" s="393"/>
      <c r="AJ6" s="393"/>
      <c r="AK6" s="393"/>
      <c r="AL6" s="393"/>
      <c r="AM6" s="393"/>
      <c r="AN6" s="393"/>
      <c r="AO6" s="393"/>
      <c r="AP6" s="393"/>
      <c r="AQ6" s="393"/>
      <c r="AR6" s="393"/>
      <c r="AS6" s="393"/>
      <c r="AT6" s="393"/>
      <c r="AU6" s="393"/>
      <c r="AV6" s="393"/>
      <c r="AW6" s="3"/>
      <c r="AX6" s="3"/>
      <c r="AY6" s="141" t="s">
        <v>578</v>
      </c>
      <c r="AZ6" s="141"/>
      <c r="BA6" s="141"/>
      <c r="BB6" s="141">
        <v>5350</v>
      </c>
      <c r="BC6" s="185"/>
      <c r="BD6" s="141"/>
      <c r="BE6" s="141"/>
      <c r="BF6" s="141"/>
      <c r="BG6" s="141"/>
      <c r="BH6" s="141"/>
      <c r="BI6" s="141"/>
      <c r="BJ6" s="141"/>
      <c r="BK6" s="141"/>
      <c r="BL6" s="186"/>
      <c r="BM6" s="186"/>
      <c r="BN6" s="186"/>
      <c r="BO6" s="186"/>
      <c r="BP6" s="186"/>
      <c r="BQ6" s="186"/>
      <c r="BR6" s="6"/>
      <c r="BS6" s="6"/>
      <c r="BT6" s="6"/>
      <c r="BU6" s="51" t="s">
        <v>95</v>
      </c>
      <c r="CC6" s="1" t="s">
        <v>451</v>
      </c>
      <c r="CD6" s="1" t="s">
        <v>237</v>
      </c>
      <c r="CE6" s="1">
        <v>2</v>
      </c>
      <c r="CI6" s="48">
        <v>0</v>
      </c>
    </row>
    <row r="7" spans="2:87" ht="25.05" customHeight="1" x14ac:dyDescent="0.3">
      <c r="B7" s="577" t="s">
        <v>122</v>
      </c>
      <c r="C7" s="578"/>
      <c r="D7" s="578"/>
      <c r="E7" s="527" t="s">
        <v>132</v>
      </c>
      <c r="F7" s="527"/>
      <c r="G7" s="527"/>
      <c r="H7" s="528"/>
      <c r="J7" s="536" t="s">
        <v>181</v>
      </c>
      <c r="K7" s="537"/>
      <c r="L7" s="537"/>
      <c r="M7" s="537"/>
      <c r="N7" s="537"/>
      <c r="O7" s="538"/>
      <c r="P7" s="324"/>
      <c r="Q7" s="258"/>
      <c r="R7" s="324"/>
      <c r="S7" s="461"/>
      <c r="T7" s="563" t="s">
        <v>100</v>
      </c>
      <c r="U7" s="563"/>
      <c r="V7" s="563"/>
      <c r="W7" s="563"/>
      <c r="X7" s="563"/>
      <c r="Y7" s="563"/>
      <c r="Z7" s="563"/>
      <c r="AA7" s="563"/>
      <c r="AB7" s="563"/>
      <c r="AC7" s="563"/>
      <c r="AD7" s="563"/>
      <c r="AE7" s="563"/>
      <c r="AF7" s="563"/>
      <c r="AG7" s="564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3" t="s">
        <v>265</v>
      </c>
      <c r="AX7" s="3"/>
      <c r="AY7" s="185" t="s">
        <v>258</v>
      </c>
      <c r="AZ7" s="185"/>
      <c r="BA7" s="185"/>
      <c r="BB7" s="141">
        <v>5350</v>
      </c>
      <c r="BC7" s="185"/>
      <c r="BD7" s="141"/>
      <c r="BE7" s="141"/>
      <c r="BF7" s="141"/>
      <c r="BG7" s="141"/>
      <c r="BH7" s="141"/>
      <c r="BI7" s="141"/>
      <c r="BJ7" s="141"/>
      <c r="BK7" s="141"/>
      <c r="BL7" s="186"/>
      <c r="BM7" s="186"/>
      <c r="BN7" s="186"/>
      <c r="BO7" s="186"/>
      <c r="BP7" s="186"/>
      <c r="BQ7" s="186"/>
      <c r="BR7" s="6"/>
      <c r="BS7" s="6"/>
      <c r="BT7" s="6"/>
      <c r="BU7" s="51" t="s">
        <v>96</v>
      </c>
      <c r="CC7" s="1" t="s">
        <v>452</v>
      </c>
      <c r="CD7" s="1" t="s">
        <v>253</v>
      </c>
      <c r="CI7" s="48">
        <v>1</v>
      </c>
    </row>
    <row r="8" spans="2:87" ht="25.05" customHeight="1" x14ac:dyDescent="0.3">
      <c r="B8" s="579" t="s">
        <v>123</v>
      </c>
      <c r="C8" s="580"/>
      <c r="D8" s="580"/>
      <c r="E8" s="529" t="s">
        <v>548</v>
      </c>
      <c r="F8" s="529"/>
      <c r="G8" s="529"/>
      <c r="H8" s="530"/>
      <c r="J8" s="503" t="s">
        <v>0</v>
      </c>
      <c r="K8" s="504" t="s">
        <v>1</v>
      </c>
      <c r="L8" s="504" t="s">
        <v>7</v>
      </c>
      <c r="M8" s="205" t="s">
        <v>267</v>
      </c>
      <c r="N8" s="205" t="s">
        <v>101</v>
      </c>
      <c r="O8" s="239" t="s">
        <v>23</v>
      </c>
      <c r="P8" s="140"/>
      <c r="Q8" s="259" t="s">
        <v>24</v>
      </c>
      <c r="R8" s="140"/>
      <c r="S8" s="319"/>
      <c r="T8" s="96">
        <v>1000</v>
      </c>
      <c r="U8" s="96">
        <v>1250</v>
      </c>
      <c r="V8" s="96">
        <v>1800</v>
      </c>
      <c r="W8" s="96">
        <v>2000</v>
      </c>
      <c r="X8" s="96">
        <v>2500</v>
      </c>
      <c r="Y8" s="96">
        <v>2700</v>
      </c>
      <c r="Z8" s="96">
        <v>3000</v>
      </c>
      <c r="AA8" s="96">
        <v>3600</v>
      </c>
      <c r="AB8" s="96">
        <v>3750</v>
      </c>
      <c r="AC8" s="96">
        <v>4000</v>
      </c>
      <c r="AD8" s="96">
        <v>5000</v>
      </c>
      <c r="AE8" s="96">
        <v>5400</v>
      </c>
      <c r="AF8" s="205" t="s">
        <v>101</v>
      </c>
      <c r="AG8" s="52" t="s">
        <v>24</v>
      </c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53"/>
      <c r="AX8" s="53"/>
      <c r="AY8" s="96">
        <v>1000</v>
      </c>
      <c r="AZ8" s="96">
        <v>1250</v>
      </c>
      <c r="BA8" s="96">
        <v>1800</v>
      </c>
      <c r="BB8" s="96">
        <v>2000</v>
      </c>
      <c r="BC8" s="96">
        <v>2500</v>
      </c>
      <c r="BD8" s="96">
        <v>2700</v>
      </c>
      <c r="BE8" s="96">
        <v>3000</v>
      </c>
      <c r="BF8" s="96">
        <v>3600</v>
      </c>
      <c r="BG8" s="96">
        <v>3750</v>
      </c>
      <c r="BH8" s="96">
        <v>4000</v>
      </c>
      <c r="BI8" s="96">
        <v>5000</v>
      </c>
      <c r="BJ8" s="142">
        <v>5400</v>
      </c>
      <c r="BK8" s="187"/>
      <c r="BL8" s="186"/>
      <c r="BM8" s="186"/>
      <c r="BN8" s="186"/>
      <c r="BO8" s="186"/>
      <c r="BP8" s="186"/>
      <c r="BQ8" s="186"/>
      <c r="BR8" s="6"/>
      <c r="BS8" s="6" t="s">
        <v>128</v>
      </c>
      <c r="BT8" s="6"/>
      <c r="BU8" s="1" t="s">
        <v>467</v>
      </c>
      <c r="CI8" s="48">
        <v>2</v>
      </c>
    </row>
    <row r="9" spans="2:87" ht="25.05" customHeight="1" x14ac:dyDescent="0.35">
      <c r="B9" s="579" t="s">
        <v>124</v>
      </c>
      <c r="C9" s="580"/>
      <c r="D9" s="580"/>
      <c r="E9" s="531">
        <f>IF(OR(E8=BU9,E8=BU7,E8=BU8),2,IF(OR(E8=BU10,E8=BU11,E8=BU12),E10,IF(OR(E8=BU13,E8=BU14),4,1)))</f>
        <v>4</v>
      </c>
      <c r="F9" s="531"/>
      <c r="G9" s="531"/>
      <c r="H9" s="532"/>
      <c r="J9" s="22" t="s">
        <v>513</v>
      </c>
      <c r="K9" s="238" t="s">
        <v>534</v>
      </c>
      <c r="L9" s="502">
        <f>K4-32</f>
        <v>2486</v>
      </c>
      <c r="M9" s="513">
        <f>E9*2</f>
        <v>8</v>
      </c>
      <c r="N9" s="502"/>
      <c r="O9" s="339">
        <f>IF(L9&gt;2650,M9,M9/2)</f>
        <v>4</v>
      </c>
      <c r="P9" s="247"/>
      <c r="Q9" s="338">
        <f>O9*BS9</f>
        <v>23361.52</v>
      </c>
      <c r="R9" s="255"/>
      <c r="S9" s="466" t="str">
        <f>J9</f>
        <v>Вертикальный профиль</v>
      </c>
      <c r="T9" s="228">
        <f t="shared" ref="T9:AE10" si="0">IF($Y$3=$CD$21,AY9,IF($Y$3=$CD$27,AY33,IF($Y$3=$CD$28,AY44,AY21)))</f>
        <v>0</v>
      </c>
      <c r="U9" s="228">
        <f t="shared" si="0"/>
        <v>0</v>
      </c>
      <c r="V9" s="228">
        <f t="shared" si="0"/>
        <v>0</v>
      </c>
      <c r="W9" s="228">
        <f t="shared" si="0"/>
        <v>0</v>
      </c>
      <c r="X9" s="228">
        <f t="shared" si="0"/>
        <v>0</v>
      </c>
      <c r="Y9" s="228">
        <f t="shared" si="0"/>
        <v>0</v>
      </c>
      <c r="Z9" s="228">
        <f t="shared" si="0"/>
        <v>0</v>
      </c>
      <c r="AA9" s="228">
        <f t="shared" si="0"/>
        <v>0</v>
      </c>
      <c r="AB9" s="228">
        <f t="shared" si="0"/>
        <v>0</v>
      </c>
      <c r="AC9" s="228">
        <f t="shared" si="0"/>
        <v>0</v>
      </c>
      <c r="AD9" s="228">
        <f t="shared" si="0"/>
        <v>0</v>
      </c>
      <c r="AE9" s="228">
        <f t="shared" si="0"/>
        <v>4</v>
      </c>
      <c r="AF9" s="130"/>
      <c r="AG9" s="229">
        <f>Q9</f>
        <v>23361.52</v>
      </c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362">
        <v>0.46</v>
      </c>
      <c r="AX9" s="3">
        <f>AW9*L9*M9/1000</f>
        <v>9.1484799999999993</v>
      </c>
      <c r="AY9" s="141">
        <v>0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315">
        <f>O9</f>
        <v>4</v>
      </c>
      <c r="BK9" s="141"/>
      <c r="BL9" s="188"/>
      <c r="BM9" s="188"/>
      <c r="BN9" s="188"/>
      <c r="BO9" s="188"/>
      <c r="BP9" s="188"/>
      <c r="BQ9" s="188"/>
      <c r="BR9" s="144"/>
      <c r="BS9" s="144">
        <f t="array" ref="BS9">INDEX(Цены!J:J,MATCH(J9&amp;$E$7,Цены!C:C&amp;Цены!G:G,0))</f>
        <v>5840.38</v>
      </c>
      <c r="BT9" s="144"/>
      <c r="BU9" s="51" t="s">
        <v>97</v>
      </c>
      <c r="CD9" s="1" t="s">
        <v>455</v>
      </c>
    </row>
    <row r="10" spans="2:87" ht="25.05" customHeight="1" x14ac:dyDescent="0.3">
      <c r="B10" s="581" t="s">
        <v>262</v>
      </c>
      <c r="C10" s="582"/>
      <c r="D10" s="582"/>
      <c r="E10" s="525">
        <v>4</v>
      </c>
      <c r="F10" s="525"/>
      <c r="G10" s="525"/>
      <c r="H10" s="526"/>
      <c r="J10" s="22" t="s">
        <v>135</v>
      </c>
      <c r="K10" s="235" t="s">
        <v>535</v>
      </c>
      <c r="L10" s="502">
        <f>IF(E8=BU6,E4*2+36,
IF(OR(E8=BU7,E8=BU8),E4*2+24,
IF(OR(E8=BU9,E8=BU11,E8=BU12,E8=BU13,E8=BU14),E4,
IF(E8=BU10,E4+K5,0))))</f>
        <v>3600</v>
      </c>
      <c r="M10" s="513">
        <f>IF(OR(E8=BU9,E8=BU13,E8=BU14),2,
IF(OR(E8=BU6,E8=BU7,E8=BU8),1,
IF(OR(E8=BU10,E8=BU11,E8=BU12),E10,)))</f>
        <v>4</v>
      </c>
      <c r="N10" s="502">
        <f>L10*M10</f>
        <v>14400</v>
      </c>
      <c r="O10" s="506">
        <f>IF(E4&gt;BB5,0,BL10+IF(BK10&gt;0,1,0))</f>
        <v>4</v>
      </c>
      <c r="P10" s="247"/>
      <c r="Q10" s="338">
        <f>O10*BS10</f>
        <v>24386.12</v>
      </c>
      <c r="R10" s="255"/>
      <c r="S10" s="466" t="str">
        <f>J10</f>
        <v>Направляющая верхняя</v>
      </c>
      <c r="T10" s="228">
        <f t="shared" si="0"/>
        <v>0</v>
      </c>
      <c r="U10" s="228">
        <f t="shared" si="0"/>
        <v>0</v>
      </c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Z10" s="228">
        <f t="shared" si="0"/>
        <v>0</v>
      </c>
      <c r="AA10" s="228">
        <f t="shared" si="0"/>
        <v>0</v>
      </c>
      <c r="AB10" s="228">
        <f t="shared" si="0"/>
        <v>0</v>
      </c>
      <c r="AC10" s="228">
        <f t="shared" si="0"/>
        <v>0</v>
      </c>
      <c r="AD10" s="228">
        <f t="shared" si="0"/>
        <v>4</v>
      </c>
      <c r="AE10" s="228">
        <f t="shared" si="0"/>
        <v>0</v>
      </c>
      <c r="AF10" s="464">
        <f>AT10</f>
        <v>20000</v>
      </c>
      <c r="AG10" s="463">
        <f>X10*BS10*0.5+AD10*BS10</f>
        <v>24386.12</v>
      </c>
      <c r="AH10" s="426">
        <f>T10*$T$8</f>
        <v>0</v>
      </c>
      <c r="AI10" s="426">
        <f>U10*$U$8</f>
        <v>0</v>
      </c>
      <c r="AJ10" s="426">
        <f>V10*$V$8</f>
        <v>0</v>
      </c>
      <c r="AK10" s="426">
        <f>W10*$W$8</f>
        <v>0</v>
      </c>
      <c r="AL10" s="426">
        <f>X10*$X$8</f>
        <v>0</v>
      </c>
      <c r="AM10" s="426">
        <f>Y10*$Y$8</f>
        <v>0</v>
      </c>
      <c r="AN10" s="426">
        <f>Z10*$Z$8</f>
        <v>0</v>
      </c>
      <c r="AO10" s="426">
        <f>AA10*$AA$8</f>
        <v>0</v>
      </c>
      <c r="AP10" s="426">
        <f>AB10*$AB$8</f>
        <v>0</v>
      </c>
      <c r="AQ10" s="426">
        <f>AC10*$AC$8</f>
        <v>0</v>
      </c>
      <c r="AR10" s="426">
        <f>AD10*$AD$8</f>
        <v>20000</v>
      </c>
      <c r="AS10" s="426">
        <f>AE10*$AE$8</f>
        <v>0</v>
      </c>
      <c r="AT10" s="426">
        <f>SUM(AH10:AS10)</f>
        <v>20000</v>
      </c>
      <c r="AU10" s="426"/>
      <c r="AV10" s="426"/>
      <c r="AW10" s="3"/>
      <c r="AX10" s="3"/>
      <c r="AY10" s="143">
        <v>0</v>
      </c>
      <c r="AZ10" s="143">
        <v>0</v>
      </c>
      <c r="BA10" s="143">
        <v>0</v>
      </c>
      <c r="BB10" s="143">
        <v>0</v>
      </c>
      <c r="BC10" s="141">
        <f>IF(AND(BK10&gt;0,BK10&lt;=2500),1,0)</f>
        <v>0</v>
      </c>
      <c r="BD10" s="143">
        <v>0</v>
      </c>
      <c r="BE10" s="143">
        <v>0</v>
      </c>
      <c r="BF10" s="143">
        <v>0</v>
      </c>
      <c r="BG10" s="143">
        <v>0</v>
      </c>
      <c r="BH10" s="143">
        <v>0</v>
      </c>
      <c r="BI10" s="141">
        <f>IF(AND(BK10&gt;2500,BK10&lt;=4950),BL10+1,BL10)</f>
        <v>4</v>
      </c>
      <c r="BJ10" s="143">
        <v>0</v>
      </c>
      <c r="BK10" s="185">
        <f>$N$10-INT($BB$5/$L$10)*$L$10*$BL$10</f>
        <v>0</v>
      </c>
      <c r="BL10" s="141">
        <f>IF($E$4&gt;$BB$5,0,INT($M$10/INT($BB$5/$L$10)))</f>
        <v>4</v>
      </c>
      <c r="BM10" s="141"/>
      <c r="BN10" s="141"/>
      <c r="BO10" s="141"/>
      <c r="BP10" s="141"/>
      <c r="BQ10" s="141"/>
      <c r="BR10" s="3"/>
      <c r="BS10" s="144">
        <f t="array" ref="BS10">IFERROR(INDEX(Цены!J:J,MATCH(J10&amp;$E$7,Цены!C:C&amp;Цены!G:G,0)),Цены!J33)</f>
        <v>6096.53</v>
      </c>
      <c r="BT10" s="3"/>
      <c r="BU10" s="51" t="s">
        <v>106</v>
      </c>
      <c r="CD10" s="1" t="s">
        <v>453</v>
      </c>
    </row>
    <row r="11" spans="2:87" ht="25.05" customHeight="1" x14ac:dyDescent="0.3">
      <c r="B11" s="581" t="s">
        <v>581</v>
      </c>
      <c r="C11" s="582"/>
      <c r="D11" s="582"/>
      <c r="E11" s="514" t="s">
        <v>98</v>
      </c>
      <c r="F11" s="514"/>
      <c r="G11" s="514"/>
      <c r="H11" s="515"/>
      <c r="J11" s="512" t="s">
        <v>533</v>
      </c>
      <c r="K11" s="238" t="s">
        <v>536</v>
      </c>
      <c r="L11" s="337">
        <f>IF(OR(E8=BU6,E8=BU7,E8=BU8),50,0)</f>
        <v>0</v>
      </c>
      <c r="M11" s="513">
        <f>IF(OR(E8=BU6,E8=BU7,E8=BU8),2,0)</f>
        <v>0</v>
      </c>
      <c r="N11" s="589">
        <f>L12*M12+L11*M11</f>
        <v>7200</v>
      </c>
      <c r="O11" s="566">
        <f>IF(E4&gt;BB5,0,BL12+IF(BK12&gt;0,1,0))</f>
        <v>2</v>
      </c>
      <c r="Q11" s="458"/>
      <c r="S11" s="481" t="s">
        <v>528</v>
      </c>
      <c r="T11" s="228">
        <f t="shared" ref="T11" si="1">IF($Y$3=$CD$21,AY11,IF($Y$3=$CD$27,AY35,IF($Y$3=$CD$28,AY46,AY23)))</f>
        <v>0</v>
      </c>
      <c r="U11" s="228">
        <f t="shared" ref="U11" si="2">IF($Y$3=$CD$21,AZ11,IF($Y$3=$CD$27,AZ35,IF($Y$3=$CD$28,AZ46,AZ23)))</f>
        <v>0</v>
      </c>
      <c r="V11" s="228">
        <f t="shared" ref="V11" si="3">IF($Y$3=$CD$21,BA11,IF($Y$3=$CD$27,BA35,IF($Y$3=$CD$28,BA46,BA23)))</f>
        <v>0</v>
      </c>
      <c r="W11" s="228">
        <f t="shared" ref="W11" si="4">IF($Y$3=$CD$21,BB11,IF($Y$3=$CD$27,BB35,IF($Y$3=$CD$28,BB46,BB23)))</f>
        <v>0</v>
      </c>
      <c r="X11" s="228"/>
      <c r="Y11" s="228">
        <f t="shared" ref="Y11" si="5">IF($Y$3=$CD$21,BD11,IF($Y$3=$CD$27,BD35,IF($Y$3=$CD$28,BD46,BD23)))</f>
        <v>0</v>
      </c>
      <c r="Z11" s="228">
        <f t="shared" ref="Z11" si="6">IF($Y$3=$CD$21,BE11,IF($Y$3=$CD$27,BE35,IF($Y$3=$CD$28,BE46,BE23)))</f>
        <v>0</v>
      </c>
      <c r="AA11" s="228">
        <f t="shared" ref="AA11" si="7">IF($Y$3=$CD$21,BF11,IF($Y$3=$CD$27,BF35,IF($Y$3=$CD$28,BF46,BF23)))</f>
        <v>0</v>
      </c>
      <c r="AB11" s="228">
        <f t="shared" ref="AB11" si="8">IF($Y$3=$CD$21,BG11,IF($Y$3=$CD$27,BG35,IF($Y$3=$CD$28,BG46,BG23)))</f>
        <v>0</v>
      </c>
      <c r="AC11" s="228">
        <f t="shared" ref="AC11" si="9">IF($Y$3=$CD$21,BH11,IF($Y$3=$CD$27,BH35,IF($Y$3=$CD$28,BH46,BH23)))</f>
        <v>0</v>
      </c>
      <c r="AD11" s="228"/>
      <c r="AE11" s="228">
        <f t="shared" ref="AE11" si="10">IF($Y$3=$CD$21,BJ11,IF($Y$3=$CD$27,BJ35,IF($Y$3=$CD$28,BJ46,BJ23)))</f>
        <v>0</v>
      </c>
      <c r="AF11" s="464">
        <f>AT11</f>
        <v>0</v>
      </c>
      <c r="AG11" s="463">
        <f>X11*BS11*0.5+AD11*BS11</f>
        <v>0</v>
      </c>
      <c r="AH11" s="426">
        <f>T11*$T$8</f>
        <v>0</v>
      </c>
      <c r="AI11" s="426">
        <f>U11*$U$8</f>
        <v>0</v>
      </c>
      <c r="AJ11" s="426">
        <f>V11*$V$8</f>
        <v>0</v>
      </c>
      <c r="AK11" s="426">
        <f>W11*$W$8</f>
        <v>0</v>
      </c>
      <c r="AL11" s="426">
        <f>X11*$X$8</f>
        <v>0</v>
      </c>
      <c r="AM11" s="426">
        <f>Y11*$Y$8</f>
        <v>0</v>
      </c>
      <c r="AN11" s="426">
        <f>Z11*$Z$8</f>
        <v>0</v>
      </c>
      <c r="AO11" s="426">
        <f>AA11*$AA$8</f>
        <v>0</v>
      </c>
      <c r="AP11" s="426">
        <f>AB11*$AB$8</f>
        <v>0</v>
      </c>
      <c r="AQ11" s="426">
        <f>AC11*$AC$8</f>
        <v>0</v>
      </c>
      <c r="AR11" s="426">
        <f>AD11*$AD$8</f>
        <v>0</v>
      </c>
      <c r="AS11" s="426">
        <f>AE11*$AE$8</f>
        <v>0</v>
      </c>
      <c r="AT11" s="426">
        <f>SUM(AH11:AS11)</f>
        <v>0</v>
      </c>
      <c r="AW11" s="3"/>
      <c r="AX11" s="3"/>
      <c r="AY11" s="143"/>
      <c r="AZ11" s="143"/>
      <c r="BA11" s="143"/>
      <c r="BB11" s="143"/>
      <c r="BC11" s="141"/>
      <c r="BD11" s="143"/>
      <c r="BE11" s="143"/>
      <c r="BF11" s="143"/>
      <c r="BG11" s="143"/>
      <c r="BH11" s="143"/>
      <c r="BI11" s="141"/>
      <c r="BJ11" s="143"/>
      <c r="BK11" s="185"/>
      <c r="BL11" s="141"/>
      <c r="BS11" s="1">
        <f t="array" ref="BS11">IFERROR(INDEX(Цены!J:J,MATCH(#REF!&amp;$E$7,Цены!C:C&amp;Цены!G:G,0)),Цены!J34)</f>
        <v>992.25</v>
      </c>
      <c r="BT11" s="144"/>
      <c r="BU11" s="51" t="s">
        <v>548</v>
      </c>
      <c r="CD11" s="1" t="s">
        <v>454</v>
      </c>
    </row>
    <row r="12" spans="2:87" ht="25.05" customHeight="1" x14ac:dyDescent="0.3">
      <c r="B12" s="553" t="s">
        <v>22</v>
      </c>
      <c r="C12" s="554"/>
      <c r="D12" s="554"/>
      <c r="E12" s="514" t="s">
        <v>99</v>
      </c>
      <c r="F12" s="514"/>
      <c r="G12" s="514"/>
      <c r="H12" s="515"/>
      <c r="J12" s="512" t="s">
        <v>533</v>
      </c>
      <c r="K12" s="238" t="s">
        <v>536</v>
      </c>
      <c r="L12" s="128">
        <f>L10</f>
        <v>3600</v>
      </c>
      <c r="M12" s="129">
        <f>IF(OR(E8=BU6,E8=BU7,E8=BU8),1,
IF(OR(E8=BU9,E8=BU11,E8=BU12,E8=BU14,E8=BU10,E8=BU13),2,))</f>
        <v>2</v>
      </c>
      <c r="N12" s="589"/>
      <c r="O12" s="566"/>
      <c r="P12" s="247"/>
      <c r="Q12" s="539"/>
      <c r="R12" s="255"/>
      <c r="S12" s="466" t="str">
        <f>J11</f>
        <v>Накладка декоративная направляющей</v>
      </c>
      <c r="T12" s="516">
        <f t="shared" ref="T12:AE12" si="11">IF($Y$3=$CD$21,AY12,IF($Y$3=$CD$27,AY36,IF($Y$3=$CD$28,AY47,AY24)))</f>
        <v>0</v>
      </c>
      <c r="U12" s="516">
        <f t="shared" si="11"/>
        <v>0</v>
      </c>
      <c r="V12" s="516">
        <f t="shared" si="11"/>
        <v>0</v>
      </c>
      <c r="W12" s="516">
        <f t="shared" si="11"/>
        <v>0</v>
      </c>
      <c r="X12" s="516">
        <f t="shared" si="11"/>
        <v>0</v>
      </c>
      <c r="Y12" s="516">
        <f t="shared" si="11"/>
        <v>0</v>
      </c>
      <c r="Z12" s="516">
        <f t="shared" si="11"/>
        <v>0</v>
      </c>
      <c r="AA12" s="516">
        <f t="shared" si="11"/>
        <v>0</v>
      </c>
      <c r="AB12" s="516">
        <f t="shared" si="11"/>
        <v>0</v>
      </c>
      <c r="AC12" s="516">
        <f t="shared" si="11"/>
        <v>0</v>
      </c>
      <c r="AD12" s="516">
        <f t="shared" si="11"/>
        <v>2</v>
      </c>
      <c r="AE12" s="516">
        <f t="shared" si="11"/>
        <v>0</v>
      </c>
      <c r="AF12" s="552">
        <f>AT12</f>
        <v>10000</v>
      </c>
      <c r="AG12" s="565" t="e">
        <f>(X12*0.5+AD12)*BS12</f>
        <v>#N/A</v>
      </c>
      <c r="AH12" s="426">
        <f>T12*$T$8</f>
        <v>0</v>
      </c>
      <c r="AI12" s="426">
        <f>U12*$U$8</f>
        <v>0</v>
      </c>
      <c r="AJ12" s="426">
        <f>V12*$V$8</f>
        <v>0</v>
      </c>
      <c r="AK12" s="426">
        <f>W12*$W$8</f>
        <v>0</v>
      </c>
      <c r="AL12" s="426">
        <f>X12*$X$8</f>
        <v>0</v>
      </c>
      <c r="AM12" s="426">
        <f>Y12*$Y$8</f>
        <v>0</v>
      </c>
      <c r="AN12" s="426">
        <f>Z12*$Z$8</f>
        <v>0</v>
      </c>
      <c r="AO12" s="426">
        <f>AA12*$AA$8</f>
        <v>0</v>
      </c>
      <c r="AP12" s="426">
        <f>AB12*$AB$8</f>
        <v>0</v>
      </c>
      <c r="AQ12" s="426">
        <f>AC12*$AC$8</f>
        <v>0</v>
      </c>
      <c r="AR12" s="426">
        <f>AD12*$AD$8</f>
        <v>10000</v>
      </c>
      <c r="AS12" s="426">
        <f>AE12*$AE$8</f>
        <v>0</v>
      </c>
      <c r="AT12" s="426">
        <f>SUM(AH12:AS12)</f>
        <v>10000</v>
      </c>
      <c r="AU12" s="426"/>
      <c r="AV12" s="426"/>
      <c r="AW12" s="3"/>
      <c r="AX12" s="3"/>
      <c r="AY12" s="143">
        <v>0</v>
      </c>
      <c r="AZ12" s="143">
        <v>0</v>
      </c>
      <c r="BA12" s="143">
        <v>0</v>
      </c>
      <c r="BB12" s="143">
        <v>0</v>
      </c>
      <c r="BC12" s="141">
        <f>IF(AND(BK12&gt;0,BK12&lt;=2500),1,0)</f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1">
        <f>IF(AND(BK12&gt;2500,BK12&lt;=5025),BL12+1,BL12)</f>
        <v>2</v>
      </c>
      <c r="BJ12" s="143">
        <v>0</v>
      </c>
      <c r="BK12" s="185">
        <f>$N$11-INT($BB$6/($L$12+$L$11*$M$11))*($L$12+$L$11*$M$11)*BL12</f>
        <v>0</v>
      </c>
      <c r="BL12" s="141">
        <f>IF($E$4&gt;$BB$6,0,INT($M$12/INT($BB$6/($L$12+$L$11*$M$11))))</f>
        <v>2</v>
      </c>
      <c r="BM12" s="141"/>
      <c r="BN12" s="141"/>
      <c r="BO12" s="188"/>
      <c r="BP12" s="188"/>
      <c r="BQ12" s="188"/>
      <c r="BR12" s="144"/>
      <c r="BS12" s="144" t="e">
        <f t="array" ref="BS12">INDEX(Цены!J:J,MATCH(J11&amp;$E$7,Цены!C:C&amp;Цены!G:G,0))</f>
        <v>#N/A</v>
      </c>
      <c r="BT12" s="144"/>
      <c r="BU12" s="51" t="s">
        <v>527</v>
      </c>
    </row>
    <row r="13" spans="2:87" ht="25.05" customHeight="1" thickBot="1" x14ac:dyDescent="0.35">
      <c r="B13" s="555" t="s">
        <v>547</v>
      </c>
      <c r="C13" s="556"/>
      <c r="D13" s="556"/>
      <c r="E13" s="514" t="s">
        <v>99</v>
      </c>
      <c r="F13" s="514"/>
      <c r="G13" s="514"/>
      <c r="H13" s="515"/>
      <c r="J13" s="22" t="s">
        <v>532</v>
      </c>
      <c r="K13" s="238" t="s">
        <v>537</v>
      </c>
      <c r="L13" s="502">
        <f>K5-24</f>
        <v>885</v>
      </c>
      <c r="M13" s="513">
        <f>E9</f>
        <v>4</v>
      </c>
      <c r="N13" s="502">
        <f>L13*M13</f>
        <v>3540</v>
      </c>
      <c r="O13" s="506">
        <f>BL14+IF(BK14&gt;0,1,0)</f>
        <v>1</v>
      </c>
      <c r="P13" s="247"/>
      <c r="Q13" s="539"/>
      <c r="R13" s="255"/>
      <c r="S13" s="466" t="str">
        <f>J12</f>
        <v>Накладка декоративная направляющей</v>
      </c>
      <c r="T13" s="516"/>
      <c r="U13" s="516"/>
      <c r="V13" s="516"/>
      <c r="W13" s="516"/>
      <c r="X13" s="516"/>
      <c r="Y13" s="516"/>
      <c r="Z13" s="516"/>
      <c r="AA13" s="516"/>
      <c r="AB13" s="516"/>
      <c r="AC13" s="516"/>
      <c r="AD13" s="516"/>
      <c r="AE13" s="516"/>
      <c r="AF13" s="552"/>
      <c r="AG13" s="565"/>
      <c r="AH13" s="426"/>
      <c r="AI13" s="426"/>
      <c r="AJ13" s="426"/>
      <c r="AK13" s="426"/>
      <c r="AL13" s="426"/>
      <c r="AM13" s="426"/>
      <c r="AN13" s="426"/>
      <c r="AO13" s="426"/>
      <c r="AP13" s="426"/>
      <c r="AQ13" s="426"/>
      <c r="AR13" s="426"/>
      <c r="AS13" s="426"/>
      <c r="AT13" s="426"/>
      <c r="AU13" s="426"/>
      <c r="AV13" s="426"/>
      <c r="AW13" s="363">
        <v>0.80700000000000005</v>
      </c>
      <c r="AX13" s="3">
        <f>AW13*L13*M13/1000</f>
        <v>2.8567800000000001</v>
      </c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99"/>
      <c r="BL13" s="198"/>
      <c r="BM13" s="141"/>
      <c r="BN13" s="198"/>
      <c r="BO13" s="473"/>
      <c r="BP13" s="188"/>
      <c r="BQ13" s="188"/>
      <c r="BR13" s="144"/>
      <c r="BS13" s="144"/>
      <c r="BT13" s="144"/>
      <c r="BU13" s="1" t="s">
        <v>549</v>
      </c>
    </row>
    <row r="14" spans="2:87" ht="25.05" customHeight="1" x14ac:dyDescent="0.3">
      <c r="B14" s="553" t="s">
        <v>164</v>
      </c>
      <c r="C14" s="554"/>
      <c r="D14" s="554"/>
      <c r="E14" s="525" t="s">
        <v>98</v>
      </c>
      <c r="F14" s="525"/>
      <c r="G14" s="525"/>
      <c r="H14" s="526"/>
      <c r="J14" s="22" t="s">
        <v>538</v>
      </c>
      <c r="K14" s="238" t="s">
        <v>539</v>
      </c>
      <c r="L14" s="502">
        <f>L13</f>
        <v>885</v>
      </c>
      <c r="M14" s="513">
        <f>E9</f>
        <v>4</v>
      </c>
      <c r="N14" s="502">
        <f>L14*M14</f>
        <v>3540</v>
      </c>
      <c r="O14" s="506">
        <f>BL14+IF(BK14&gt;0,1,0)</f>
        <v>1</v>
      </c>
      <c r="P14" s="247"/>
      <c r="Q14" s="338"/>
      <c r="R14" s="255"/>
      <c r="S14" s="466" t="str">
        <f>J13</f>
        <v>Горизонтальный профиль</v>
      </c>
      <c r="T14" s="462">
        <f t="shared" ref="T14:AE15" si="12">IF($Y$3=$CD$21,AY14,IF($Y$3=$CD$27,AY38,IF($Y$3=$CD$28,AY49,AY26)))</f>
        <v>0</v>
      </c>
      <c r="U14" s="462">
        <f t="shared" si="12"/>
        <v>0</v>
      </c>
      <c r="V14" s="462">
        <f t="shared" si="12"/>
        <v>0</v>
      </c>
      <c r="W14" s="462">
        <f t="shared" si="12"/>
        <v>0</v>
      </c>
      <c r="X14" s="462">
        <f t="shared" si="12"/>
        <v>0</v>
      </c>
      <c r="Y14" s="462">
        <f t="shared" si="12"/>
        <v>0</v>
      </c>
      <c r="Z14" s="462">
        <f t="shared" si="12"/>
        <v>0</v>
      </c>
      <c r="AA14" s="462">
        <f t="shared" si="12"/>
        <v>0</v>
      </c>
      <c r="AB14" s="462">
        <f t="shared" si="12"/>
        <v>0</v>
      </c>
      <c r="AC14" s="462">
        <f t="shared" si="12"/>
        <v>1</v>
      </c>
      <c r="AD14" s="462">
        <f t="shared" si="12"/>
        <v>0</v>
      </c>
      <c r="AE14" s="462">
        <f t="shared" si="12"/>
        <v>0</v>
      </c>
      <c r="AF14" s="464">
        <f>AT14</f>
        <v>4000</v>
      </c>
      <c r="AG14" s="463" t="e">
        <f>(T14*0.2+U14*0.25+W14*0.4+X14*0.5+Z14*0.6+AB14*0.75+AC14*0.8+AD14)*BS14</f>
        <v>#N/A</v>
      </c>
      <c r="AH14" s="426">
        <f t="shared" ref="AH14:AH15" si="13">T14*$T$8</f>
        <v>0</v>
      </c>
      <c r="AI14" s="426">
        <f t="shared" ref="AI14:AI15" si="14">U14*$U$8</f>
        <v>0</v>
      </c>
      <c r="AJ14" s="426">
        <f t="shared" ref="AJ14:AJ15" si="15">V14*$V$8</f>
        <v>0</v>
      </c>
      <c r="AK14" s="426">
        <f t="shared" ref="AK14:AK15" si="16">W14*$W$8</f>
        <v>0</v>
      </c>
      <c r="AL14" s="426">
        <f t="shared" ref="AL14:AL15" si="17">X14*$X$8</f>
        <v>0</v>
      </c>
      <c r="AM14" s="426">
        <f t="shared" ref="AM14:AM15" si="18">Y14*$Y$8</f>
        <v>0</v>
      </c>
      <c r="AN14" s="426">
        <f t="shared" ref="AN14:AN15" si="19">Z14*$Z$8</f>
        <v>0</v>
      </c>
      <c r="AO14" s="426">
        <f t="shared" ref="AO14:AO15" si="20">AA14*$AA$8</f>
        <v>0</v>
      </c>
      <c r="AP14" s="426">
        <f t="shared" ref="AP14:AP15" si="21">AB14*$AB$8</f>
        <v>0</v>
      </c>
      <c r="AQ14" s="426">
        <f t="shared" ref="AQ14:AQ15" si="22">AC14*$AC$8</f>
        <v>4000</v>
      </c>
      <c r="AR14" s="426">
        <f t="shared" ref="AR14:AR15" si="23">AD14*$AD$8</f>
        <v>0</v>
      </c>
      <c r="AS14" s="426">
        <f t="shared" ref="AS14:AS15" si="24">AE14*$AE$8</f>
        <v>0</v>
      </c>
      <c r="AT14" s="426">
        <f t="shared" ref="AT14:AT15" si="25">SUM(AH14:AS14)</f>
        <v>4000</v>
      </c>
      <c r="AU14" s="426"/>
      <c r="AV14" s="426"/>
      <c r="AW14" s="363">
        <v>0.64600000000000002</v>
      </c>
      <c r="AX14" s="3">
        <f>AW14*L14*M14/1000</f>
        <v>2.2868400000000002</v>
      </c>
      <c r="AY14" s="141">
        <f>IF(AND(BK14&gt;0,BK14&lt;=1000),1,0)</f>
        <v>0</v>
      </c>
      <c r="AZ14" s="143">
        <v>0</v>
      </c>
      <c r="BA14" s="143">
        <v>0</v>
      </c>
      <c r="BB14" s="141">
        <f>IF(AND(BK14&gt;1000,BK14&lt;=2000),1,0)</f>
        <v>0</v>
      </c>
      <c r="BC14" s="143">
        <v>0</v>
      </c>
      <c r="BD14" s="143">
        <v>0</v>
      </c>
      <c r="BE14" s="141">
        <f>IF(AND(BK14&gt;2000,BK14&lt;=3000),1,0)</f>
        <v>0</v>
      </c>
      <c r="BF14" s="143">
        <v>0</v>
      </c>
      <c r="BG14" s="143">
        <v>0</v>
      </c>
      <c r="BH14" s="141">
        <f>IF(AND(BK14&gt;3000,BK14&lt;=4000),1,0)</f>
        <v>1</v>
      </c>
      <c r="BI14" s="141">
        <f>IF(AND(BK14&gt;4000,BK14&lt;=4950),BL14+1,BL14)</f>
        <v>0</v>
      </c>
      <c r="BJ14" s="467">
        <v>0</v>
      </c>
      <c r="BK14" s="469">
        <f>N13-INT($BB$5/L13)*L13*BL14</f>
        <v>3540</v>
      </c>
      <c r="BL14" s="470">
        <f>INT(M13/INT($BB$5/L13))</f>
        <v>0</v>
      </c>
      <c r="BM14" s="471"/>
      <c r="BN14" s="474"/>
      <c r="BO14" s="475"/>
      <c r="BP14" s="472"/>
      <c r="BQ14" s="189"/>
      <c r="BR14" s="152"/>
      <c r="BS14" s="144" t="e">
        <f t="array" ref="BS14">INDEX(Цены!J:J,MATCH(J13&amp;$E$7,Цены!C:C&amp;Цены!G:G,0))</f>
        <v>#N/A</v>
      </c>
      <c r="BT14" s="152"/>
      <c r="BU14" s="1" t="s">
        <v>550</v>
      </c>
      <c r="CD14" s="1" t="s">
        <v>173</v>
      </c>
    </row>
    <row r="15" spans="2:87" ht="25.05" customHeight="1" thickBot="1" x14ac:dyDescent="0.4">
      <c r="B15" s="553" t="s">
        <v>587</v>
      </c>
      <c r="C15" s="554"/>
      <c r="D15" s="554"/>
      <c r="E15" s="525" t="s">
        <v>99</v>
      </c>
      <c r="F15" s="525"/>
      <c r="G15" s="525"/>
      <c r="H15" s="526"/>
      <c r="J15" s="22" t="s">
        <v>540</v>
      </c>
      <c r="K15" s="238" t="s">
        <v>541</v>
      </c>
      <c r="L15" s="502">
        <f>IF(E5&gt;0,L14,0)</f>
        <v>0</v>
      </c>
      <c r="M15" s="513">
        <f>E9*E5</f>
        <v>0</v>
      </c>
      <c r="N15" s="502">
        <f>L15*M15</f>
        <v>0</v>
      </c>
      <c r="O15" s="506">
        <f>BL15+IF(BK15&gt;0,1,0)</f>
        <v>0</v>
      </c>
      <c r="P15" s="247"/>
      <c r="Q15" s="330"/>
      <c r="R15" s="255"/>
      <c r="S15" s="466" t="str">
        <f>J15</f>
        <v>Горизонтальный разделительный  профиль</v>
      </c>
      <c r="T15" s="462">
        <f t="shared" si="12"/>
        <v>0</v>
      </c>
      <c r="U15" s="462">
        <f t="shared" si="12"/>
        <v>0</v>
      </c>
      <c r="V15" s="462">
        <f t="shared" si="12"/>
        <v>0</v>
      </c>
      <c r="W15" s="462">
        <f t="shared" si="12"/>
        <v>0</v>
      </c>
      <c r="X15" s="462">
        <f t="shared" si="12"/>
        <v>0</v>
      </c>
      <c r="Y15" s="462">
        <f t="shared" si="12"/>
        <v>0</v>
      </c>
      <c r="Z15" s="462">
        <f t="shared" si="12"/>
        <v>0</v>
      </c>
      <c r="AA15" s="462">
        <f t="shared" si="12"/>
        <v>0</v>
      </c>
      <c r="AB15" s="462">
        <f t="shared" si="12"/>
        <v>0</v>
      </c>
      <c r="AC15" s="462">
        <f t="shared" si="12"/>
        <v>0</v>
      </c>
      <c r="AD15" s="462">
        <f t="shared" si="12"/>
        <v>0</v>
      </c>
      <c r="AE15" s="462">
        <f t="shared" si="12"/>
        <v>0</v>
      </c>
      <c r="AF15" s="464">
        <f>AT15</f>
        <v>0</v>
      </c>
      <c r="AG15" s="465" t="e">
        <f>IF(E6=CC6,AV16,AU16)</f>
        <v>#N/A</v>
      </c>
      <c r="AH15" s="426">
        <f t="shared" si="13"/>
        <v>0</v>
      </c>
      <c r="AI15" s="426">
        <f t="shared" si="14"/>
        <v>0</v>
      </c>
      <c r="AJ15" s="426">
        <f t="shared" si="15"/>
        <v>0</v>
      </c>
      <c r="AK15" s="426">
        <f t="shared" si="16"/>
        <v>0</v>
      </c>
      <c r="AL15" s="426">
        <f t="shared" si="17"/>
        <v>0</v>
      </c>
      <c r="AM15" s="426">
        <f t="shared" si="18"/>
        <v>0</v>
      </c>
      <c r="AN15" s="426">
        <f t="shared" si="19"/>
        <v>0</v>
      </c>
      <c r="AO15" s="426">
        <f t="shared" si="20"/>
        <v>0</v>
      </c>
      <c r="AP15" s="426">
        <f t="shared" si="21"/>
        <v>0</v>
      </c>
      <c r="AQ15" s="426">
        <f t="shared" si="22"/>
        <v>0</v>
      </c>
      <c r="AR15" s="426">
        <f t="shared" si="23"/>
        <v>0</v>
      </c>
      <c r="AS15" s="426">
        <f t="shared" si="24"/>
        <v>0</v>
      </c>
      <c r="AT15" s="426">
        <f t="shared" si="25"/>
        <v>0</v>
      </c>
      <c r="AU15" s="188" t="s">
        <v>259</v>
      </c>
      <c r="AV15" s="189" t="s">
        <v>260</v>
      </c>
      <c r="AW15" s="364">
        <v>0.47899999999999998</v>
      </c>
      <c r="AX15" s="3">
        <f>AW15*L15*M15/1000</f>
        <v>0</v>
      </c>
      <c r="AY15" s="190">
        <f>IF(AND(J15=CC7,BK15&gt;0,BK15&lt;=1000),1,0)</f>
        <v>0</v>
      </c>
      <c r="AZ15" s="143">
        <v>0</v>
      </c>
      <c r="BA15" s="191">
        <f>IF(AND(J15=CC6,BN15&gt;0,BN15&lt;=1800),1,0)</f>
        <v>0</v>
      </c>
      <c r="BB15" s="190">
        <f>IF(AND(J15=CC7,BK15&gt;1000,BK15&lt;=2000),1,0)</f>
        <v>0</v>
      </c>
      <c r="BC15" s="143">
        <v>0</v>
      </c>
      <c r="BD15" s="191">
        <f>IF(AND(J15=CC6,BN15&gt;1800,BN15&lt;=2700),1,0)</f>
        <v>0</v>
      </c>
      <c r="BE15" s="190">
        <f>IF(AND(J15=CC7,BK15&gt;2000,BK15&lt;=3000),1,0)</f>
        <v>0</v>
      </c>
      <c r="BF15" s="191">
        <f>IF(AND(J15=CC6,BN15&gt;2700,BN15&lt;=3600),1,0)</f>
        <v>0</v>
      </c>
      <c r="BG15" s="143">
        <v>0</v>
      </c>
      <c r="BH15" s="190">
        <f>IF(AND(J15=CC7,BK15&gt;3000,BK15&lt;=4000),1,0)</f>
        <v>0</v>
      </c>
      <c r="BI15" s="190">
        <f>IF(AND(J15=CC7,BK15&gt;4000,BK15&lt;=4950),BL15+1,BL15)</f>
        <v>0</v>
      </c>
      <c r="BJ15" s="468">
        <f>IF(AND(J15=CC6,BN15&gt;3600,BN15&lt;=5350),BO15+1,BO15)</f>
        <v>0</v>
      </c>
      <c r="BK15" s="476">
        <f>IF(E5&lt;&gt;0,N15-INT(BB5/L15)*L15*BL15,0)</f>
        <v>0</v>
      </c>
      <c r="BL15" s="477">
        <f>IF(E5&lt;&gt;0,INT(M15/INT(BB5/L15)),0)</f>
        <v>0</v>
      </c>
      <c r="BM15" s="478"/>
      <c r="BN15" s="479">
        <f>IF(E5&lt;&gt;0,N15-INT(BB7/L15)*L15*BO15,0)</f>
        <v>0</v>
      </c>
      <c r="BO15" s="480">
        <f>IF(AND(E6=CC6,E5&lt;&gt;0),INT(M15/INT(BB7/L15)),0)</f>
        <v>0</v>
      </c>
      <c r="BP15" s="472"/>
      <c r="BQ15" s="188"/>
      <c r="BR15" s="144"/>
      <c r="BS15" s="144" t="e">
        <f t="array" ref="BS15">INDEX(Цены!J:J,MATCH(J15&amp;$E$7,Цены!C:C&amp;Цены!G:G,0))</f>
        <v>#N/A</v>
      </c>
      <c r="BT15" s="144"/>
      <c r="CD15" s="1" t="s">
        <v>174</v>
      </c>
    </row>
    <row r="16" spans="2:87" ht="25.05" customHeight="1" thickBot="1" x14ac:dyDescent="0.4">
      <c r="B16" s="567" t="s">
        <v>468</v>
      </c>
      <c r="C16" s="568"/>
      <c r="D16" s="568"/>
      <c r="E16" s="569">
        <v>2</v>
      </c>
      <c r="F16" s="569"/>
      <c r="G16" s="569"/>
      <c r="H16" s="570"/>
      <c r="J16" s="512" t="s">
        <v>542</v>
      </c>
      <c r="K16" s="238" t="s">
        <v>543</v>
      </c>
      <c r="L16" s="502">
        <f>K4</f>
        <v>2518</v>
      </c>
      <c r="M16" s="513">
        <f>M9-M17</f>
        <v>8</v>
      </c>
      <c r="N16" s="502"/>
      <c r="O16" s="506">
        <f>IF(L16&gt;2650,M16,M16/2)</f>
        <v>4</v>
      </c>
      <c r="P16" s="245"/>
      <c r="Q16" s="136">
        <f>SUM(Q9:Q15)</f>
        <v>47747.64</v>
      </c>
      <c r="R16" s="255"/>
      <c r="S16" s="321"/>
      <c r="T16" s="550" t="s">
        <v>103</v>
      </c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1"/>
      <c r="AG16" s="136" t="e">
        <f>SUM(AG9:AG15)</f>
        <v>#N/A</v>
      </c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 t="e">
        <f>(T15*0.2+U15*0.25+W15*0.4+X15*0.5+Z15*0.6+AB15*0.75+AC15*0.8+AD15)*BS15</f>
        <v>#N/A</v>
      </c>
      <c r="AV16" s="256" t="e">
        <f>(V15*0.34+Y15*0.5+AA15*0.67+AE15)*BS15</f>
        <v>#N/A</v>
      </c>
      <c r="AW16" s="364">
        <v>0.216</v>
      </c>
      <c r="AX16" s="3">
        <f>AW16*L16*M16/1000</f>
        <v>4.3511040000000003</v>
      </c>
      <c r="BK16" s="54">
        <f>IF(E6&lt;&gt;0,N18-INT(BB5/L18)*L18*BL16,0)</f>
        <v>0</v>
      </c>
      <c r="BL16" s="1">
        <f>IF(E6&lt;&gt;0,INT(M18/INT(BB5/L18)),0)</f>
        <v>0</v>
      </c>
      <c r="BT16" s="4"/>
    </row>
    <row r="17" spans="2:82" ht="25.05" customHeight="1" thickBot="1" x14ac:dyDescent="0.4">
      <c r="J17" s="512" t="s">
        <v>587</v>
      </c>
      <c r="K17" s="238" t="s">
        <v>592</v>
      </c>
      <c r="L17" s="502">
        <f>K4</f>
        <v>2518</v>
      </c>
      <c r="M17" s="126">
        <f>IF(E15=BU23,
IF(OR(E8=BU6,E8=BU7,E8=BU10,E8=BU8),M9,
IF(OR(E8=BU9,E8=BU13,E8=BU14),M9/2,M9-2)),0)</f>
        <v>0</v>
      </c>
      <c r="N17" s="125"/>
      <c r="O17" s="506">
        <f>IF(L17&gt;2650,M17,M17/2)</f>
        <v>0</v>
      </c>
      <c r="R17" s="256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364">
        <v>0.16600000000000001</v>
      </c>
      <c r="AX17" s="3">
        <f>AW17*L18*M18/1000</f>
        <v>0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U17" s="1" t="s">
        <v>177</v>
      </c>
    </row>
    <row r="18" spans="2:82" ht="25.05" customHeight="1" thickBot="1" x14ac:dyDescent="0.35">
      <c r="J18" s="512" t="s">
        <v>544</v>
      </c>
      <c r="K18" s="238" t="s">
        <v>545</v>
      </c>
      <c r="L18" s="502">
        <f>IF(E6&gt;0,L13,0)</f>
        <v>0</v>
      </c>
      <c r="M18" s="513">
        <f>E6*E9*2</f>
        <v>0</v>
      </c>
      <c r="N18" s="502">
        <f>L18*M18</f>
        <v>0</v>
      </c>
      <c r="O18" s="506">
        <f>BL16+IF(BK16&gt;0,1,0)</f>
        <v>0</v>
      </c>
      <c r="P18" s="5"/>
      <c r="Q18" s="6"/>
      <c r="R18" s="5"/>
      <c r="S18" s="5"/>
      <c r="T18" s="6"/>
      <c r="U18" s="6"/>
      <c r="V18" s="6"/>
      <c r="W18" s="6"/>
      <c r="X18" s="6"/>
      <c r="Y18" s="6"/>
      <c r="Z18" s="6"/>
      <c r="AA18" s="535" t="s">
        <v>102</v>
      </c>
      <c r="AB18" s="535"/>
      <c r="AC18" s="535"/>
      <c r="AD18" s="535"/>
      <c r="AE18" s="535"/>
      <c r="AF18" s="535"/>
      <c r="AG18" s="263" t="e">
        <f>AG16+Q44</f>
        <v>#N/A</v>
      </c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3"/>
      <c r="AX18" s="145">
        <f>SUM(AX9:AX17)/E9</f>
        <v>4.6608010000000002</v>
      </c>
      <c r="AY18" s="3"/>
      <c r="AZ18" s="3"/>
      <c r="BA18" s="3"/>
      <c r="BB18" s="3"/>
      <c r="BC18" s="3"/>
      <c r="BD18" s="241" t="s">
        <v>424</v>
      </c>
      <c r="BE18" s="3"/>
      <c r="BF18" s="3"/>
      <c r="BG18" s="3"/>
      <c r="BH18" s="3"/>
      <c r="BI18" s="3"/>
      <c r="BJ18" s="3"/>
      <c r="BK18" s="3"/>
      <c r="BU18" s="1" t="s">
        <v>174</v>
      </c>
    </row>
    <row r="19" spans="2:82" ht="25.05" customHeight="1" thickBot="1" x14ac:dyDescent="0.35">
      <c r="B19" s="1" t="s">
        <v>466</v>
      </c>
      <c r="J19" s="12"/>
      <c r="K19" s="6"/>
      <c r="L19" s="6"/>
      <c r="M19" s="6"/>
      <c r="N19" s="6"/>
      <c r="O19" s="13"/>
      <c r="P19" s="5"/>
      <c r="Q19" s="6"/>
      <c r="R19" s="5"/>
      <c r="S19" s="5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2:82" ht="25.05" customHeight="1" x14ac:dyDescent="0.3">
      <c r="B20" s="1" t="s">
        <v>582</v>
      </c>
      <c r="J20" s="511" t="s">
        <v>180</v>
      </c>
      <c r="K20" s="505"/>
      <c r="L20" s="505"/>
      <c r="M20" s="6"/>
      <c r="N20" s="6"/>
      <c r="O20" s="13"/>
      <c r="P20" s="140"/>
      <c r="Q20" s="261" t="s">
        <v>24</v>
      </c>
      <c r="R20" s="140"/>
      <c r="S20" s="140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9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53"/>
      <c r="AX20" s="53"/>
      <c r="AY20" s="96">
        <v>1000</v>
      </c>
      <c r="AZ20" s="96">
        <v>1250</v>
      </c>
      <c r="BA20" s="96">
        <v>1800</v>
      </c>
      <c r="BB20" s="96">
        <v>2000</v>
      </c>
      <c r="BC20" s="96">
        <v>2500</v>
      </c>
      <c r="BD20" s="96">
        <v>2700</v>
      </c>
      <c r="BE20" s="96">
        <v>3000</v>
      </c>
      <c r="BF20" s="96">
        <v>3600</v>
      </c>
      <c r="BG20" s="96">
        <v>3750</v>
      </c>
      <c r="BH20" s="96">
        <v>4000</v>
      </c>
      <c r="BI20" s="96">
        <v>5000</v>
      </c>
      <c r="BJ20" s="142">
        <v>5400</v>
      </c>
      <c r="BK20" s="187"/>
      <c r="BL20" s="186"/>
      <c r="BM20" s="186"/>
      <c r="BN20" s="186"/>
      <c r="BO20" s="186"/>
      <c r="BP20" s="186"/>
      <c r="BQ20" s="186"/>
      <c r="BR20" s="6"/>
      <c r="BS20" s="6"/>
      <c r="BU20" s="1" t="s">
        <v>85</v>
      </c>
    </row>
    <row r="21" spans="2:82" ht="25.05" customHeight="1" x14ac:dyDescent="0.3">
      <c r="J21" s="590" t="s">
        <v>0</v>
      </c>
      <c r="K21" s="591"/>
      <c r="L21" s="591"/>
      <c r="M21" s="591"/>
      <c r="N21" s="508" t="s">
        <v>1</v>
      </c>
      <c r="O21" s="239" t="s">
        <v>8</v>
      </c>
      <c r="P21" s="248"/>
      <c r="Q21" s="262">
        <f>O22*Цены!J151</f>
        <v>13162.68</v>
      </c>
      <c r="R21" s="243"/>
      <c r="S21" s="309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53"/>
      <c r="AX21" s="53"/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315">
        <f>BJ9</f>
        <v>4</v>
      </c>
      <c r="BK21" s="141"/>
      <c r="BL21" s="188"/>
      <c r="BM21" s="188"/>
      <c r="BN21" s="188"/>
      <c r="BO21" s="188"/>
      <c r="BP21" s="188"/>
      <c r="BQ21" s="188"/>
      <c r="BR21" s="144"/>
      <c r="BS21" s="144"/>
      <c r="BU21" s="1" t="s">
        <v>86</v>
      </c>
      <c r="CD21" s="1" t="s">
        <v>418</v>
      </c>
    </row>
    <row r="22" spans="2:82" ht="25.05" customHeight="1" thickBot="1" x14ac:dyDescent="0.35">
      <c r="B22" s="56"/>
      <c r="C22" s="57"/>
      <c r="D22" s="57"/>
      <c r="E22" s="57"/>
      <c r="F22" s="57"/>
      <c r="G22" s="57"/>
      <c r="H22" s="57"/>
      <c r="J22" s="517" t="s">
        <v>551</v>
      </c>
      <c r="K22" s="518"/>
      <c r="L22" s="518"/>
      <c r="M22" s="518"/>
      <c r="N22" s="206" t="s">
        <v>553</v>
      </c>
      <c r="O22" s="232">
        <f>(E9-O44)*2-O30</f>
        <v>4</v>
      </c>
      <c r="P22" s="248"/>
      <c r="Q22" s="262">
        <f>O23*Цены!J153</f>
        <v>189.27</v>
      </c>
      <c r="R22" s="243"/>
      <c r="S22" s="309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430"/>
      <c r="AG22" s="426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53"/>
      <c r="AX22" s="53"/>
      <c r="AY22" s="143">
        <v>0</v>
      </c>
      <c r="AZ22" s="143">
        <v>0</v>
      </c>
      <c r="BA22" s="143">
        <v>0</v>
      </c>
      <c r="BB22" s="143">
        <v>0</v>
      </c>
      <c r="BC22" s="141">
        <f>$BC$10</f>
        <v>0</v>
      </c>
      <c r="BD22" s="143">
        <v>0</v>
      </c>
      <c r="BE22" s="143">
        <v>0</v>
      </c>
      <c r="BF22" s="143">
        <v>0</v>
      </c>
      <c r="BG22" s="143">
        <v>0</v>
      </c>
      <c r="BH22" s="143">
        <v>0</v>
      </c>
      <c r="BI22" s="141">
        <f>$BI$10</f>
        <v>4</v>
      </c>
      <c r="BJ22" s="143">
        <v>0</v>
      </c>
      <c r="BK22" s="185">
        <f>$BK$10</f>
        <v>0</v>
      </c>
      <c r="BL22" s="185">
        <f>$BL$10</f>
        <v>4</v>
      </c>
      <c r="BM22" s="141"/>
      <c r="BN22" s="141"/>
      <c r="BO22" s="141"/>
      <c r="BP22" s="141"/>
      <c r="BQ22" s="141"/>
      <c r="BR22" s="3"/>
      <c r="BS22" s="3"/>
      <c r="CD22" s="1" t="s">
        <v>423</v>
      </c>
    </row>
    <row r="23" spans="2:82" ht="25.05" customHeight="1" thickBot="1" x14ac:dyDescent="0.35">
      <c r="B23" s="58"/>
      <c r="C23" s="59"/>
      <c r="D23" s="59"/>
      <c r="E23" s="59"/>
      <c r="F23" s="59"/>
      <c r="G23" s="59"/>
      <c r="H23" s="60"/>
      <c r="J23" s="517" t="s">
        <v>552</v>
      </c>
      <c r="K23" s="518"/>
      <c r="L23" s="518"/>
      <c r="M23" s="518"/>
      <c r="N23" s="206" t="s">
        <v>554</v>
      </c>
      <c r="O23" s="232">
        <f>IF(OR(E8=BU6,E8=BU10,E8=BU11),1,
IF(OR(E8=BU7,E8=BU8,E8=BU9,E8=BU12,E8=BU13),2,
IF(E8=BU14,4,0)))</f>
        <v>1</v>
      </c>
      <c r="P23" s="248"/>
      <c r="Q23" s="262">
        <f>O24*Цены!J159</f>
        <v>0</v>
      </c>
      <c r="R23" s="243"/>
      <c r="S23" s="309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9"/>
      <c r="AG23" s="100"/>
      <c r="AH23" s="426"/>
      <c r="AI23" s="426"/>
      <c r="AJ23" s="426"/>
      <c r="AK23" s="426"/>
      <c r="AL23" s="426"/>
      <c r="AM23" s="426"/>
      <c r="AN23" s="426"/>
      <c r="AO23" s="426"/>
      <c r="AP23" s="426"/>
      <c r="AQ23" s="426"/>
      <c r="AR23" s="426"/>
      <c r="AS23" s="426"/>
      <c r="AT23" s="426"/>
      <c r="AU23" s="426"/>
      <c r="AV23" s="426"/>
      <c r="AW23" s="53"/>
      <c r="AX23" s="53"/>
      <c r="AY23" s="143"/>
      <c r="AZ23" s="143"/>
      <c r="BA23" s="143"/>
      <c r="BB23" s="143"/>
      <c r="BC23" s="141"/>
      <c r="BD23" s="143"/>
      <c r="BE23" s="143"/>
      <c r="BF23" s="143"/>
      <c r="BG23" s="143"/>
      <c r="BH23" s="143"/>
      <c r="BI23" s="141"/>
      <c r="BJ23" s="143"/>
      <c r="BK23" s="185"/>
      <c r="BL23" s="141"/>
      <c r="BR23" s="144"/>
      <c r="BS23" s="144"/>
      <c r="BU23" s="1" t="s">
        <v>98</v>
      </c>
      <c r="CD23" s="1" t="s">
        <v>420</v>
      </c>
    </row>
    <row r="24" spans="2:82" ht="25.05" customHeight="1" thickBot="1" x14ac:dyDescent="0.35">
      <c r="B24" s="204" t="s">
        <v>107</v>
      </c>
      <c r="C24" s="62">
        <f>E5+1</f>
        <v>1</v>
      </c>
      <c r="D24" s="63" t="str">
        <f>IF(C24&gt;5,BU33,BU34)</f>
        <v xml:space="preserve"> </v>
      </c>
      <c r="E24" s="510"/>
      <c r="F24" s="510"/>
      <c r="G24" s="510"/>
      <c r="H24" s="64"/>
      <c r="J24" s="546" t="s">
        <v>73</v>
      </c>
      <c r="K24" s="547"/>
      <c r="L24" s="547"/>
      <c r="M24" s="547"/>
      <c r="N24" s="207" t="s">
        <v>555</v>
      </c>
      <c r="O24" s="232">
        <f>IF(OR(E8=BU6,E8=BU9),O22,
IF(AND(E12=BU23,O30=0,OR(E8=BU7,E8=BU8,E8=BU13,E8=BU14)),O22,
IF(AND(E12=BU23,O30&lt;&gt;0,K5&lt;900,OR(E8=BU7,E8=BU8,E8=BU13,E8=BU14)),2-IF(E8=BU13,2,0),
IF(AND(E12=BU24,OR(E8=BU7,E8=BU8,E8=BU13,E8=BU14)),O22,
IF(AND(E11=BU23,O30=0,OR(E8=BU10,E8=BU11,E8=BU12)),2+IF(E8=BU12,2,0),
IF(AND(O30&lt;&gt;0,E8=BU12,K5&lt;900),1,
IF(AND(E11=BU24,O30=0,OR(E8=BU10,E8=BU11,E8=BU12)),2+IF(E8=BU12,2,0),0)))))))</f>
        <v>0</v>
      </c>
      <c r="P24" s="249"/>
      <c r="Q24" s="262">
        <f>O25*Цены!J160</f>
        <v>133.72</v>
      </c>
      <c r="R24" s="243"/>
      <c r="S24" s="309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9"/>
      <c r="AG24" s="100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53"/>
      <c r="AX24" s="53"/>
      <c r="AY24" s="143">
        <v>0</v>
      </c>
      <c r="AZ24" s="143">
        <v>0</v>
      </c>
      <c r="BA24" s="143">
        <v>0</v>
      </c>
      <c r="BB24" s="143">
        <v>0</v>
      </c>
      <c r="BC24" s="141">
        <f>$BC$12</f>
        <v>0</v>
      </c>
      <c r="BD24" s="143">
        <v>0</v>
      </c>
      <c r="BE24" s="143">
        <v>0</v>
      </c>
      <c r="BF24" s="143">
        <v>0</v>
      </c>
      <c r="BG24" s="143">
        <v>0</v>
      </c>
      <c r="BH24" s="143">
        <v>0</v>
      </c>
      <c r="BI24" s="141">
        <f>$BI$12</f>
        <v>2</v>
      </c>
      <c r="BJ24" s="143">
        <v>0</v>
      </c>
      <c r="BK24" s="185">
        <f>$BK$12</f>
        <v>0</v>
      </c>
      <c r="BL24" s="185">
        <f>$BL$12</f>
        <v>2</v>
      </c>
      <c r="BM24" s="141"/>
      <c r="BN24" s="141"/>
      <c r="BO24" s="188"/>
      <c r="BP24" s="188"/>
      <c r="BQ24" s="188"/>
      <c r="BR24" s="144"/>
      <c r="BS24" s="144"/>
      <c r="BU24" s="1" t="s">
        <v>99</v>
      </c>
      <c r="CD24" s="1" t="s">
        <v>421</v>
      </c>
    </row>
    <row r="25" spans="2:82" ht="25.05" customHeight="1" x14ac:dyDescent="0.3">
      <c r="B25" s="66"/>
      <c r="C25" s="67"/>
      <c r="D25" s="67"/>
      <c r="E25" s="67"/>
      <c r="F25" s="67"/>
      <c r="G25" s="67"/>
      <c r="H25" s="68"/>
      <c r="J25" s="548" t="s">
        <v>556</v>
      </c>
      <c r="K25" s="549"/>
      <c r="L25" s="549"/>
      <c r="M25" s="549"/>
      <c r="N25" s="140" t="s">
        <v>557</v>
      </c>
      <c r="O25" s="498">
        <f>IF(AND(E11=BU23,OR(E8=BU10,E8=BU11)),1,
IF(AND(E11=BU23,E8=BU12),2,E9-O44))</f>
        <v>1</v>
      </c>
      <c r="P25" s="250"/>
      <c r="Q25" s="262">
        <f>O26*Цены!J130</f>
        <v>0</v>
      </c>
      <c r="R25" s="243"/>
      <c r="S25" s="309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430"/>
      <c r="AG25" s="426"/>
      <c r="AH25" s="426"/>
      <c r="AI25" s="426"/>
      <c r="AJ25" s="426"/>
      <c r="AK25" s="426"/>
      <c r="AL25" s="426"/>
      <c r="AM25" s="426"/>
      <c r="AN25" s="426"/>
      <c r="AO25" s="426"/>
      <c r="AP25" s="426"/>
      <c r="AQ25" s="426"/>
      <c r="AR25" s="426"/>
      <c r="AS25" s="426"/>
      <c r="AT25" s="426"/>
      <c r="AU25" s="426"/>
      <c r="AV25" s="426"/>
      <c r="AW25" s="53"/>
      <c r="AX25" s="53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85"/>
      <c r="BL25" s="185"/>
      <c r="BM25" s="141"/>
      <c r="BN25" s="141"/>
      <c r="BO25" s="188"/>
      <c r="BP25" s="188"/>
      <c r="BQ25" s="188"/>
      <c r="BR25" s="152"/>
      <c r="BS25" s="152"/>
      <c r="CD25" s="1" t="s">
        <v>422</v>
      </c>
    </row>
    <row r="26" spans="2:82" ht="25.05" customHeight="1" x14ac:dyDescent="0.3">
      <c r="B26" s="66"/>
      <c r="C26" s="67"/>
      <c r="D26" s="67"/>
      <c r="E26" s="67"/>
      <c r="F26" s="67"/>
      <c r="G26" s="67"/>
      <c r="H26" s="68"/>
      <c r="J26" s="517" t="s">
        <v>22</v>
      </c>
      <c r="K26" s="518"/>
      <c r="L26" s="518"/>
      <c r="M26" s="518"/>
      <c r="N26" s="206" t="s">
        <v>558</v>
      </c>
      <c r="O26" s="284">
        <f>IF(AND(E12=BU23,OR(E8=BU7,E8=BU8,E8=BU14,E8=BU13)),1,0)</f>
        <v>0</v>
      </c>
      <c r="P26" s="250"/>
      <c r="Q26" s="262">
        <f>O27*Цены!J131</f>
        <v>8617.56</v>
      </c>
      <c r="R26" s="243"/>
      <c r="S26" s="309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430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53"/>
      <c r="AX26" s="53"/>
      <c r="AY26" s="143">
        <v>0</v>
      </c>
      <c r="AZ26" s="141">
        <f>IF(AND(BK26&gt;0,BK26&lt;=1250),1,0)</f>
        <v>0</v>
      </c>
      <c r="BA26" s="143">
        <v>0</v>
      </c>
      <c r="BB26" s="143">
        <v>0</v>
      </c>
      <c r="BC26" s="141">
        <f>IF(AND(BK26&gt;1250,BK26&lt;=2500),1,0)</f>
        <v>0</v>
      </c>
      <c r="BD26" s="143">
        <v>0</v>
      </c>
      <c r="BE26" s="143">
        <v>0</v>
      </c>
      <c r="BF26" s="143">
        <v>0</v>
      </c>
      <c r="BG26" s="141">
        <f>IF(AND(BK26&gt;2500,BK26&lt;=3750),1,0)</f>
        <v>1</v>
      </c>
      <c r="BH26" s="143">
        <v>0</v>
      </c>
      <c r="BI26" s="141">
        <f>IF(AND(BK26&gt;3750,BK26&lt;=4950),BL26+1,BL26)</f>
        <v>0</v>
      </c>
      <c r="BJ26" s="143">
        <v>0</v>
      </c>
      <c r="BK26" s="185">
        <f>BK14</f>
        <v>3540</v>
      </c>
      <c r="BL26" s="185">
        <f>BL14</f>
        <v>0</v>
      </c>
      <c r="BM26" s="141"/>
      <c r="BN26" s="141"/>
      <c r="BO26" s="188"/>
      <c r="BP26" s="188"/>
      <c r="BQ26" s="189"/>
      <c r="BR26" s="144"/>
      <c r="BS26" s="144"/>
      <c r="CA26" s="301">
        <f>IF(E28&lt;&gt;0,1,0)</f>
        <v>1</v>
      </c>
      <c r="CD26" s="1" t="s">
        <v>419</v>
      </c>
    </row>
    <row r="27" spans="2:82" ht="25.05" customHeight="1" x14ac:dyDescent="0.3">
      <c r="B27" s="69" t="s">
        <v>108</v>
      </c>
      <c r="C27" s="509" t="s">
        <v>109</v>
      </c>
      <c r="D27" s="70" t="s">
        <v>78</v>
      </c>
      <c r="E27" s="509" t="s">
        <v>110</v>
      </c>
      <c r="F27" s="509" t="s">
        <v>111</v>
      </c>
      <c r="G27" s="509" t="s">
        <v>127</v>
      </c>
      <c r="H27" s="71" t="s">
        <v>128</v>
      </c>
      <c r="J27" s="561" t="s">
        <v>559</v>
      </c>
      <c r="K27" s="562"/>
      <c r="L27" s="562"/>
      <c r="M27" s="562"/>
      <c r="N27" s="206" t="s">
        <v>560</v>
      </c>
      <c r="O27" s="284">
        <f>IF(E11=BU24,0,
IF(E8=BU10,E10-1,
IF(OR(E8=BU12,E8=BU11),E10-2,0)))</f>
        <v>2</v>
      </c>
      <c r="P27" s="251"/>
      <c r="Q27" s="262">
        <f>O28*Цены!J132</f>
        <v>1774.19</v>
      </c>
      <c r="R27" s="243"/>
      <c r="S27" s="243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431"/>
      <c r="AF27" s="431"/>
      <c r="AG27" s="256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53"/>
      <c r="AX27" s="53"/>
      <c r="AY27" s="143">
        <v>0</v>
      </c>
      <c r="AZ27" s="190">
        <f>IF(AND(J15=CC7,BK27&gt;0,BK27&lt;=1250),1,0)</f>
        <v>0</v>
      </c>
      <c r="BA27" s="191">
        <f>IF(AND(J15=CC6,BN27&gt;0,BN27&lt;=1800),1,0)</f>
        <v>0</v>
      </c>
      <c r="BB27" s="143">
        <v>0</v>
      </c>
      <c r="BC27" s="190">
        <f>IF(AND(J15=CC7,BK27&gt;1250,BK27&lt;=2500),1,0)</f>
        <v>0</v>
      </c>
      <c r="BD27" s="191">
        <f>IF(AND(J15=CC6,BN27&gt;1800,BN27&lt;=2700),1,0)</f>
        <v>0</v>
      </c>
      <c r="BE27" s="143">
        <v>0</v>
      </c>
      <c r="BF27" s="191">
        <f>IF(AND(J15=CC6,BN27&gt;2700,BN27&lt;=3600),1,0)</f>
        <v>0</v>
      </c>
      <c r="BG27" s="190">
        <f>IF(AND(J15=CC7,BK27&gt;2500,BK27&lt;=3750),1,0)</f>
        <v>0</v>
      </c>
      <c r="BH27" s="143">
        <v>0</v>
      </c>
      <c r="BI27" s="190">
        <f>IF(AND(J15=CC7,BK27&gt;3750,BK27&lt;=4950),BL27+1,BL27)</f>
        <v>0</v>
      </c>
      <c r="BJ27" s="191">
        <f>IF(AND(J15=CC6,BN27&gt;3600,BN27&lt;=5350),BO27+1,BO27)</f>
        <v>0</v>
      </c>
      <c r="BK27" s="185">
        <f>BK15</f>
        <v>0</v>
      </c>
      <c r="BL27" s="185">
        <f>BL15</f>
        <v>0</v>
      </c>
      <c r="BM27" s="141"/>
      <c r="BN27" s="141">
        <f>BN15</f>
        <v>0</v>
      </c>
      <c r="BO27" s="188">
        <f>BO15</f>
        <v>0</v>
      </c>
      <c r="BP27" s="188"/>
      <c r="BQ27" s="188"/>
      <c r="BU27" s="65" t="s">
        <v>10</v>
      </c>
      <c r="CA27" s="301">
        <f>IF(E29&lt;&gt;0,1,0)</f>
        <v>0</v>
      </c>
      <c r="CD27" s="1" t="s">
        <v>520</v>
      </c>
    </row>
    <row r="28" spans="2:82" ht="25.05" customHeight="1" x14ac:dyDescent="0.3">
      <c r="B28" s="72" t="s">
        <v>112</v>
      </c>
      <c r="C28" s="15" t="s">
        <v>12</v>
      </c>
      <c r="D28" s="95">
        <v>0</v>
      </c>
      <c r="E28" s="16">
        <f>K4-IF(E32=0,0,IF(C32=BU27,E32,IF(C32=BU28,E32+2,E32+3)))
-IF(E31=0,0,IF(C31=BU27,E31,IF(C31=BU28,E31+2,E31+3)))
-IF(E30=0,0,IF(C30=BU27,E30,IF(C30=BU28,E30+2,E30+3)))
-IF(E29=0,0,IF(C29=BU27,E29,IF(C29=BU28,E29+2,E29+3)))
-33-IF(C28=BU28,2,IF(C28=BU29,3,0))-E5*CE6</f>
        <v>2482</v>
      </c>
      <c r="F28" s="73">
        <f>IF(C28=$BU$29,$K$5-11,IF(C28=$BU$28,$K$5-10,$K$5-8))</f>
        <v>898</v>
      </c>
      <c r="G28" s="74">
        <f>$E$9</f>
        <v>4</v>
      </c>
      <c r="H28" s="75">
        <f>E28*F28*D28*G28/1000000</f>
        <v>0</v>
      </c>
      <c r="J28" s="587" t="s">
        <v>561</v>
      </c>
      <c r="K28" s="588"/>
      <c r="L28" s="588"/>
      <c r="M28" s="588"/>
      <c r="N28" s="206" t="s">
        <v>562</v>
      </c>
      <c r="O28" s="232">
        <f>IF(AND(O27&gt;0,E11=BU23),1,0)</f>
        <v>1</v>
      </c>
      <c r="P28" s="250"/>
      <c r="Q28" s="262">
        <f>O29*Цены!J119</f>
        <v>0</v>
      </c>
      <c r="R28" s="243"/>
      <c r="BU28" s="65" t="s">
        <v>11</v>
      </c>
      <c r="CA28" s="301">
        <f>IF(E30&lt;&gt;0,1,0)</f>
        <v>0</v>
      </c>
      <c r="CD28" s="1" t="s">
        <v>518</v>
      </c>
    </row>
    <row r="29" spans="2:82" ht="25.05" customHeight="1" x14ac:dyDescent="0.3">
      <c r="B29" s="72" t="s">
        <v>113</v>
      </c>
      <c r="C29" s="15" t="s">
        <v>12</v>
      </c>
      <c r="D29" s="95">
        <v>0</v>
      </c>
      <c r="E29" s="17">
        <v>0</v>
      </c>
      <c r="F29" s="73">
        <f>IF(C29=$BU$29,$K$5-11,IF(C29=$BU$28,$K$5-10,$K$5-8))</f>
        <v>898</v>
      </c>
      <c r="G29" s="74">
        <f>IF(E29&lt;&gt;0,$E$9,0)</f>
        <v>0</v>
      </c>
      <c r="H29" s="75">
        <f t="shared" ref="H29:H32" si="26">E29*F29*D29*G29/1000000</f>
        <v>0</v>
      </c>
      <c r="J29" s="561" t="s">
        <v>563</v>
      </c>
      <c r="K29" s="562"/>
      <c r="L29" s="562"/>
      <c r="M29" s="562"/>
      <c r="N29" s="206" t="s">
        <v>564</v>
      </c>
      <c r="O29" s="231">
        <f>IF(E11=BU23,0,
IF(E8=BU10,E10-1,
IF(OR(E8=BU12,E8=BU11),E10-2,0)))</f>
        <v>0</v>
      </c>
      <c r="P29" s="250"/>
      <c r="Q29" s="262">
        <f>O30*Цены!J105</f>
        <v>4377.6400000000003</v>
      </c>
      <c r="R29" s="243"/>
      <c r="S29" s="243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U29" s="65" t="s">
        <v>12</v>
      </c>
      <c r="CA29" s="301">
        <f>IF(E31&lt;&gt;0,1,0)</f>
        <v>0</v>
      </c>
    </row>
    <row r="30" spans="2:82" ht="25.05" customHeight="1" x14ac:dyDescent="0.3">
      <c r="B30" s="72" t="s">
        <v>114</v>
      </c>
      <c r="C30" s="15" t="s">
        <v>12</v>
      </c>
      <c r="D30" s="95">
        <v>0</v>
      </c>
      <c r="E30" s="17">
        <v>0</v>
      </c>
      <c r="F30" s="73">
        <f>IF(C30=$BU$29,$K$5-11,IF(C30=$BU$28,$K$5-10,$K$5-8))</f>
        <v>898</v>
      </c>
      <c r="G30" s="74">
        <f>IF(E30&lt;&gt;0,$E$9,0)</f>
        <v>0</v>
      </c>
      <c r="H30" s="75">
        <f t="shared" si="26"/>
        <v>0</v>
      </c>
      <c r="J30" s="548" t="s">
        <v>164</v>
      </c>
      <c r="K30" s="549"/>
      <c r="L30" s="549"/>
      <c r="M30" s="549"/>
      <c r="N30" s="207" t="s">
        <v>565</v>
      </c>
      <c r="O30" s="231">
        <f>IF(OR(K5&lt;600,E14=BU24),0,
IF(AND(E8=BU6,K5&gt;=900),2,
IF(AND(E8=BU6,K5&gt;=600,K5&lt;900),1,
IF(AND(E12=BU24,OR(E8=BU7,E8=BU8,E8=BU13,E8=BU14),K5&gt;=900),4+IF(E8=BU14,4,0),
IF(AND(E12=BU24,OR(E8=BU7,E8=BU8,E8=BU13,E8=BU14),K5&lt;900),2+IF(E8=BU14,2,0),
IF(AND(E12=BU23,OR(E8=BU7,E8=BU8,E8=BU13,E8=BU14),K5&gt;=900),2+IF(E8=BU14,4,0),
IF(AND(E12=BU23,OR(E8=BU7,E8=BU8,E8=BU13,E8=BU14),K5&lt;900),2+IF(E8=BU14,2,0),
IF(AND(E8=BU9,K5&gt;=900),4,
IF(AND(E8=BU9,K5&gt;=600,K5&lt;900),2,
IF(OR(E8=BU10,E8=BU11,E8=BU12),2+IF(AND(E8=BU12,K5&gt;=900),2,IF(AND(E8=BU12,K5&lt;900),1,0))))))))))))</f>
        <v>2</v>
      </c>
      <c r="P30" s="251"/>
      <c r="Q30" s="262">
        <f>O32*Цены!J150</f>
        <v>0</v>
      </c>
      <c r="R30" s="243"/>
      <c r="S30" s="243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3"/>
      <c r="AX30" s="3"/>
      <c r="AY30" s="3"/>
      <c r="AZ30" s="3"/>
      <c r="BA30" s="3"/>
      <c r="BB30" s="3"/>
      <c r="BC30" s="3"/>
      <c r="BD30" s="241" t="s">
        <v>517</v>
      </c>
      <c r="BE30" s="3"/>
      <c r="BF30" s="3"/>
      <c r="BG30" s="3"/>
      <c r="BH30" s="3"/>
      <c r="BI30" s="3"/>
      <c r="BJ30" s="3"/>
      <c r="BK30" s="3"/>
      <c r="CA30" s="301">
        <f>IF(E32&lt;&gt;0,1,0)</f>
        <v>0</v>
      </c>
    </row>
    <row r="31" spans="2:82" ht="25.05" customHeight="1" x14ac:dyDescent="0.3">
      <c r="B31" s="72" t="s">
        <v>115</v>
      </c>
      <c r="C31" s="15" t="s">
        <v>12</v>
      </c>
      <c r="D31" s="95">
        <v>0</v>
      </c>
      <c r="E31" s="17">
        <v>0</v>
      </c>
      <c r="F31" s="73">
        <f>IF(C31=$BU$29,$K$5-11,IF(C31=$BU$28,$K$5-10,$K$5-8))</f>
        <v>898</v>
      </c>
      <c r="G31" s="74">
        <f>IF(E31&lt;&gt;0,$E$9,0)</f>
        <v>0</v>
      </c>
      <c r="H31" s="75">
        <f t="shared" si="26"/>
        <v>0</v>
      </c>
      <c r="J31" s="517" t="s">
        <v>584</v>
      </c>
      <c r="K31" s="518"/>
      <c r="L31" s="518"/>
      <c r="M31" s="518"/>
      <c r="N31" s="206" t="s">
        <v>583</v>
      </c>
      <c r="O31" s="232">
        <f>IF(E8=BU10,((E10-1)*2-1)-O27,
IF(OR(E8=BU11,E8=BU12),((E10-2)*2-1)-O27,0))</f>
        <v>1</v>
      </c>
      <c r="P31" s="250"/>
      <c r="Q31" s="262">
        <f>O33*Цены!J109</f>
        <v>0</v>
      </c>
      <c r="R31" s="243"/>
      <c r="S31" s="243"/>
      <c r="U31" s="322"/>
      <c r="V31" s="322"/>
      <c r="W31" s="322"/>
      <c r="X31" s="322"/>
      <c r="Y31" s="322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144"/>
      <c r="AX31" s="54" t="s">
        <v>264</v>
      </c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82" ht="25.05" customHeight="1" thickBot="1" x14ac:dyDescent="0.35">
      <c r="B32" s="80" t="s">
        <v>116</v>
      </c>
      <c r="C32" s="15" t="s">
        <v>12</v>
      </c>
      <c r="D32" s="95">
        <v>0</v>
      </c>
      <c r="E32" s="17">
        <v>0</v>
      </c>
      <c r="F32" s="73">
        <f>IF(C32=$BU$29,$K$5-11,IF(C32=$BU$28,$K$5-10,$K$5-8))</f>
        <v>898</v>
      </c>
      <c r="G32" s="74">
        <f>IF(E32&lt;&gt;0,$E$9,0)</f>
        <v>0</v>
      </c>
      <c r="H32" s="75">
        <f t="shared" si="26"/>
        <v>0</v>
      </c>
      <c r="J32" s="517" t="s">
        <v>63</v>
      </c>
      <c r="K32" s="518"/>
      <c r="L32" s="518"/>
      <c r="M32" s="518"/>
      <c r="N32" s="206" t="s">
        <v>566</v>
      </c>
      <c r="O32" s="232">
        <f>IF(OR(E8=BU6,E8=BU7),ROUNDUP(L10/500+1,0),0)</f>
        <v>0</v>
      </c>
      <c r="P32" s="250"/>
      <c r="Q32" s="262">
        <f>O34*Цены!J154</f>
        <v>3006.96</v>
      </c>
      <c r="R32" s="243"/>
      <c r="S32" s="243"/>
      <c r="T32" s="78"/>
      <c r="U32" s="78"/>
      <c r="V32" s="6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3"/>
      <c r="AX32" s="146">
        <f>IF(C28=$BU$27,(F28*E28/1000000)*8,IF(C28=$BU$28,(F28*E28/1000000)*6.5,(F28*E28/1000000)*11))</f>
        <v>24.517195999999998</v>
      </c>
      <c r="AY32" s="96">
        <v>1000</v>
      </c>
      <c r="AZ32" s="96">
        <v>1250</v>
      </c>
      <c r="BA32" s="96">
        <v>1800</v>
      </c>
      <c r="BB32" s="96">
        <v>2000</v>
      </c>
      <c r="BC32" s="96">
        <v>2500</v>
      </c>
      <c r="BD32" s="96">
        <v>2700</v>
      </c>
      <c r="BE32" s="96">
        <v>3000</v>
      </c>
      <c r="BF32" s="96">
        <v>3600</v>
      </c>
      <c r="BG32" s="96">
        <v>3750</v>
      </c>
      <c r="BH32" s="96">
        <v>4000</v>
      </c>
      <c r="BI32" s="96">
        <v>5000</v>
      </c>
      <c r="BJ32" s="142">
        <v>5400</v>
      </c>
      <c r="BK32" s="187"/>
      <c r="BL32" s="186"/>
      <c r="BM32" s="186"/>
      <c r="BN32" s="186"/>
      <c r="BO32" s="186"/>
      <c r="BP32" s="186"/>
      <c r="BQ32" s="186"/>
    </row>
    <row r="33" spans="1:73" ht="25.05" customHeight="1" thickBot="1" x14ac:dyDescent="0.35">
      <c r="B33" s="66"/>
      <c r="C33" s="67"/>
      <c r="D33" s="67"/>
      <c r="E33" s="571" t="s">
        <v>79</v>
      </c>
      <c r="F33" s="572"/>
      <c r="G33" s="573"/>
      <c r="H33" s="323">
        <f>SUM(H28:H32)</f>
        <v>0</v>
      </c>
      <c r="J33" s="519" t="s">
        <v>567</v>
      </c>
      <c r="K33" s="520"/>
      <c r="L33" s="520"/>
      <c r="M33" s="521"/>
      <c r="N33" s="206" t="s">
        <v>568</v>
      </c>
      <c r="O33" s="231">
        <f>IF(OR(E8=BU6,E8=BU7,E8=BU8),2,0)</f>
        <v>0</v>
      </c>
      <c r="P33" s="250"/>
      <c r="Q33" s="262">
        <f>O35*Цены!J186</f>
        <v>332.8</v>
      </c>
      <c r="R33" s="243"/>
      <c r="S33" s="243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3"/>
      <c r="AX33" s="146">
        <f>IF(C29=$BU$27,(F29*E29/1000000)*8,IF(C29=$BU$28,(F29*E29/1000000)*6.5,(F29*E29/1000000)*11))</f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315">
        <f>BJ9</f>
        <v>4</v>
      </c>
      <c r="BK33" s="141"/>
      <c r="BL33" s="188"/>
      <c r="BM33" s="188"/>
      <c r="BN33" s="188"/>
      <c r="BO33" s="188"/>
      <c r="BP33" s="188"/>
      <c r="BQ33" s="188"/>
      <c r="BU33" s="79" t="s">
        <v>117</v>
      </c>
    </row>
    <row r="34" spans="1:73" ht="25.05" customHeight="1" x14ac:dyDescent="0.3">
      <c r="B34" s="66"/>
      <c r="C34" s="82" t="str">
        <f>IF((SUM(CA26:CA30)/C24)&lt;&gt;1,BU43,BU44)</f>
        <v>Верно внесены высоты вставок</v>
      </c>
      <c r="D34" s="510">
        <f>IF(C34=BU44,1,0)</f>
        <v>1</v>
      </c>
      <c r="E34" s="510"/>
      <c r="F34" s="510"/>
      <c r="G34" s="510"/>
      <c r="H34" s="68"/>
      <c r="J34" s="519" t="s">
        <v>572</v>
      </c>
      <c r="K34" s="520"/>
      <c r="L34" s="520"/>
      <c r="M34" s="521"/>
      <c r="N34" s="206" t="s">
        <v>573</v>
      </c>
      <c r="O34" s="284">
        <f>E9</f>
        <v>4</v>
      </c>
      <c r="P34" s="252"/>
      <c r="Q34" s="262">
        <f>O36*Цены!J179</f>
        <v>0</v>
      </c>
      <c r="R34" s="243"/>
      <c r="S34" s="243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3"/>
      <c r="AX34" s="146">
        <f>IF(C30=$BU$27,(F30*E30/1000000)*8,IF(C30=$BU$28,(F30*E30/1000000)*6.5,(F30*E30/1000000)*11))</f>
        <v>0</v>
      </c>
      <c r="AY34" s="143">
        <v>0</v>
      </c>
      <c r="AZ34" s="143">
        <v>0</v>
      </c>
      <c r="BA34" s="143">
        <v>0</v>
      </c>
      <c r="BB34" s="143">
        <v>0</v>
      </c>
      <c r="BC34" s="141">
        <f>$BC$10</f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1">
        <f>$BI$10</f>
        <v>4</v>
      </c>
      <c r="BJ34" s="143">
        <v>0</v>
      </c>
      <c r="BK34" s="185">
        <f>$BK$10</f>
        <v>0</v>
      </c>
      <c r="BL34" s="185">
        <f>$BL$10</f>
        <v>4</v>
      </c>
      <c r="BM34" s="141"/>
      <c r="BN34" s="141"/>
      <c r="BO34" s="141"/>
      <c r="BP34" s="141"/>
      <c r="BQ34" s="141"/>
      <c r="BU34" s="79" t="s">
        <v>94</v>
      </c>
    </row>
    <row r="35" spans="1:73" ht="25.05" customHeight="1" x14ac:dyDescent="0.3">
      <c r="B35" s="66"/>
      <c r="C35" s="67"/>
      <c r="D35" s="67"/>
      <c r="E35" s="67"/>
      <c r="F35" s="67"/>
      <c r="G35" s="67"/>
      <c r="H35" s="68"/>
      <c r="J35" s="522" t="s">
        <v>570</v>
      </c>
      <c r="K35" s="523"/>
      <c r="L35" s="523"/>
      <c r="M35" s="524"/>
      <c r="N35" s="206" t="s">
        <v>569</v>
      </c>
      <c r="O35" s="231">
        <f>M13*4+M15*4+M14*4</f>
        <v>32</v>
      </c>
      <c r="P35" s="252"/>
      <c r="Q35" s="262">
        <f>O37*Цены!J180</f>
        <v>1241.24</v>
      </c>
      <c r="R35" s="243"/>
      <c r="S35" s="243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3"/>
      <c r="AX35" s="146">
        <f>IF(C31=$BU$27,(F31*E31/1000000)*8,IF(C31=$BU$28,(F31*E31/1000000)*6.5,(F31*E31/1000000)*11))</f>
        <v>0</v>
      </c>
      <c r="AY35" s="143"/>
      <c r="AZ35" s="143"/>
      <c r="BA35" s="143"/>
      <c r="BB35" s="143"/>
      <c r="BC35" s="141"/>
      <c r="BD35" s="143"/>
      <c r="BE35" s="143"/>
      <c r="BF35" s="143"/>
      <c r="BG35" s="143"/>
      <c r="BH35" s="143"/>
      <c r="BI35" s="141"/>
      <c r="BJ35" s="143"/>
      <c r="BK35" s="185"/>
      <c r="BL35" s="141"/>
    </row>
    <row r="36" spans="1:73" ht="25.05" customHeight="1" thickBot="1" x14ac:dyDescent="0.35">
      <c r="B36" s="12"/>
      <c r="C36" s="84"/>
      <c r="D36" s="84"/>
      <c r="E36" s="85"/>
      <c r="F36" s="85"/>
      <c r="G36" s="85"/>
      <c r="H36" s="68"/>
      <c r="J36" s="522" t="s">
        <v>82</v>
      </c>
      <c r="K36" s="523"/>
      <c r="L36" s="523"/>
      <c r="M36" s="524"/>
      <c r="N36" s="206" t="s">
        <v>254</v>
      </c>
      <c r="O36" s="233">
        <f>ROUNDUP((IF(C28=BU28,(E28+F28)*2*G28,0)
+IF(C29=BU28,(E29+F29)*2*G29,0)
+IF(C30=BU28,(E30+F30)*2*G30,0)
+IF(C31=BU28,(E31+F31)*2*G31,0)
+IF(C32=BU28,(E32+F32)*2*G32,0))/1000,0)</f>
        <v>0</v>
      </c>
      <c r="P36" s="250"/>
      <c r="Q36" s="262">
        <f>O38*Цены!J173</f>
        <v>0</v>
      </c>
      <c r="R36" s="243"/>
      <c r="S36" s="243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3"/>
      <c r="AX36" s="146">
        <f>IF(C32=$BU$27,(F32*E32/1000000)*8,IF(C32=$BU$28,(F32*E32/1000000)*6.5,(F32*E32/1000000)*11))</f>
        <v>0</v>
      </c>
      <c r="AY36" s="143">
        <v>0</v>
      </c>
      <c r="AZ36" s="143">
        <v>0</v>
      </c>
      <c r="BA36" s="143">
        <v>0</v>
      </c>
      <c r="BB36" s="143">
        <v>0</v>
      </c>
      <c r="BC36" s="141">
        <f>$BC$12</f>
        <v>0</v>
      </c>
      <c r="BD36" s="143">
        <v>0</v>
      </c>
      <c r="BE36" s="143">
        <v>0</v>
      </c>
      <c r="BF36" s="143">
        <v>0</v>
      </c>
      <c r="BG36" s="143">
        <v>0</v>
      </c>
      <c r="BH36" s="143">
        <v>0</v>
      </c>
      <c r="BI36" s="141">
        <f>$BI$12</f>
        <v>2</v>
      </c>
      <c r="BJ36" s="143">
        <v>0</v>
      </c>
      <c r="BK36" s="185">
        <f>$BK$12</f>
        <v>0</v>
      </c>
      <c r="BL36" s="185">
        <f>$BL$12</f>
        <v>2</v>
      </c>
      <c r="BM36" s="141"/>
      <c r="BN36" s="141"/>
      <c r="BO36" s="188"/>
      <c r="BP36" s="188"/>
      <c r="BQ36" s="188"/>
    </row>
    <row r="37" spans="1:73" ht="25.05" customHeight="1" thickBot="1" x14ac:dyDescent="0.35">
      <c r="B37" s="12"/>
      <c r="C37" s="67"/>
      <c r="D37" s="67"/>
      <c r="E37" s="67"/>
      <c r="F37" s="67"/>
      <c r="G37" s="67"/>
      <c r="H37" s="68"/>
      <c r="J37" s="522" t="s">
        <v>574</v>
      </c>
      <c r="K37" s="523"/>
      <c r="L37" s="523"/>
      <c r="M37" s="524"/>
      <c r="N37" s="206" t="s">
        <v>193</v>
      </c>
      <c r="O37" s="233">
        <f>ROUNDUP((IF(AND(E5&lt;&gt;0,C28=BU29),(E28+F28+E28)*G28,IF(AND(E5=0,C28=BU29),(E28+F28)*2*G28,0))
+IF(C29=BU29,E29*2*G29,0)
+IF(C30=BU29,E30*2*G30,0)
+IF(C31=BU29,E31*2*G31,0)
+IF(C32=BU29,(E32+F32+E32)*G32,0))/1000,0)</f>
        <v>28</v>
      </c>
      <c r="P37" s="249"/>
      <c r="Q37" s="262" t="e">
        <f>#REF!*Цены!J134</f>
        <v>#REF!</v>
      </c>
      <c r="R37" s="243"/>
      <c r="S37" s="243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3"/>
      <c r="AX37" s="147">
        <f>SUM(AX32:AX36)</f>
        <v>24.517195999999998</v>
      </c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85"/>
      <c r="BL37" s="185"/>
      <c r="BM37" s="141"/>
      <c r="BN37" s="141"/>
      <c r="BO37" s="188"/>
      <c r="BP37" s="188"/>
      <c r="BQ37" s="188"/>
      <c r="BU37" s="83" t="s">
        <v>99</v>
      </c>
    </row>
    <row r="38" spans="1:73" ht="25.05" customHeight="1" x14ac:dyDescent="0.3">
      <c r="B38" s="66"/>
      <c r="C38" s="85" t="str">
        <f>IF(AND(SUM(CA26:CA30)/C24=1,E32=0,C24&lt;&gt;1),BU47,BU48)</f>
        <v xml:space="preserve"> </v>
      </c>
      <c r="D38" s="85"/>
      <c r="E38" s="85"/>
      <c r="F38" s="85"/>
      <c r="G38" s="85"/>
      <c r="H38" s="68"/>
      <c r="J38" s="522" t="s">
        <v>576</v>
      </c>
      <c r="K38" s="523"/>
      <c r="L38" s="523"/>
      <c r="M38" s="524"/>
      <c r="N38" s="206" t="s">
        <v>575</v>
      </c>
      <c r="O38" s="233">
        <f>ROUNDUP((IF(AND(E5&lt;&gt;0,C28=BU29),F28*G28,0)
+IF(C29=BU29,F29*2*G29,0)
+IF(C30=BU29,F30*2*G30,0)
+IF(C31=BU29,F31*2*G31,0)
+IF(C32=BU29,F32*G32,0))/1000,0)</f>
        <v>0</v>
      </c>
      <c r="P38" s="253"/>
      <c r="Q38" s="262">
        <f>O39*Цены!J163</f>
        <v>0</v>
      </c>
      <c r="R38" s="243"/>
      <c r="S38" s="243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3"/>
      <c r="AX38" s="146"/>
      <c r="AY38" s="143">
        <v>0</v>
      </c>
      <c r="AZ38" s="143">
        <v>0</v>
      </c>
      <c r="BA38" s="143">
        <v>0</v>
      </c>
      <c r="BB38" s="143">
        <v>0</v>
      </c>
      <c r="BC38" s="141">
        <f>IF(AND(BK38&gt;0,BK38&lt;=2500),1,0)</f>
        <v>0</v>
      </c>
      <c r="BD38" s="143">
        <v>0</v>
      </c>
      <c r="BE38" s="143">
        <v>0</v>
      </c>
      <c r="BF38" s="143">
        <v>0</v>
      </c>
      <c r="BG38" s="143">
        <v>0</v>
      </c>
      <c r="BH38" s="143">
        <v>0</v>
      </c>
      <c r="BI38" s="141">
        <f>IF(AND(BK38&gt;2500,BK38&lt;=4950),BL38+1,BL38)</f>
        <v>1</v>
      </c>
      <c r="BJ38" s="143">
        <v>0</v>
      </c>
      <c r="BK38" s="185">
        <f>BK26</f>
        <v>3540</v>
      </c>
      <c r="BL38" s="185">
        <f>BL26</f>
        <v>0</v>
      </c>
      <c r="BM38" s="141"/>
      <c r="BN38" s="141"/>
      <c r="BO38" s="188"/>
      <c r="BP38" s="188"/>
      <c r="BQ38" s="189"/>
      <c r="BU38" s="83" t="s">
        <v>129</v>
      </c>
    </row>
    <row r="39" spans="1:73" ht="25.05" customHeight="1" x14ac:dyDescent="0.3">
      <c r="B39" s="66"/>
      <c r="C39" s="67"/>
      <c r="D39" s="67"/>
      <c r="E39" s="67"/>
      <c r="F39" s="67"/>
      <c r="G39" s="67"/>
      <c r="H39" s="68"/>
      <c r="J39" s="540" t="s">
        <v>76</v>
      </c>
      <c r="K39" s="541"/>
      <c r="L39" s="541"/>
      <c r="M39" s="542"/>
      <c r="N39" s="206" t="s">
        <v>196</v>
      </c>
      <c r="O39" s="234">
        <f>IF(E13=BU39,ROUNDUP(L9*M9/1000,0),0)</f>
        <v>0</v>
      </c>
      <c r="P39" s="253"/>
      <c r="Q39" s="262">
        <f>O40*Цены!J182</f>
        <v>0</v>
      </c>
      <c r="R39" s="243"/>
      <c r="S39" s="243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3"/>
      <c r="AX39" s="146"/>
      <c r="AY39" s="143">
        <v>0</v>
      </c>
      <c r="AZ39" s="143">
        <v>0</v>
      </c>
      <c r="BA39" s="143">
        <v>0</v>
      </c>
      <c r="BB39" s="143">
        <v>0</v>
      </c>
      <c r="BC39" s="190">
        <f>IF(AND(J15=CC7,BK39&gt;0,BK39&lt;=2500),1,0)</f>
        <v>0</v>
      </c>
      <c r="BD39" s="191">
        <f>IF(AND(J15=CC6,BN39&gt;0,BN39&lt;=2700),1,0)</f>
        <v>0</v>
      </c>
      <c r="BE39" s="143">
        <v>0</v>
      </c>
      <c r="BF39" s="143">
        <v>0</v>
      </c>
      <c r="BG39" s="143">
        <v>0</v>
      </c>
      <c r="BH39" s="143">
        <v>0</v>
      </c>
      <c r="BI39" s="190">
        <f>IF(AND(J15=CC7,BK39&gt;2500,BK39&lt;=4950),BL39+1,BL39)</f>
        <v>0</v>
      </c>
      <c r="BJ39" s="191">
        <f>IF(AND(J15=CC6,BN39&gt;2700,BN39&lt;=5350),BO39+1,BO39)</f>
        <v>0</v>
      </c>
      <c r="BK39" s="185">
        <f>BK27</f>
        <v>0</v>
      </c>
      <c r="BL39" s="185">
        <f>BL27</f>
        <v>0</v>
      </c>
      <c r="BM39" s="141"/>
      <c r="BN39" s="141">
        <f>BN27</f>
        <v>0</v>
      </c>
      <c r="BO39" s="188">
        <f>BO27</f>
        <v>0</v>
      </c>
      <c r="BP39" s="188"/>
      <c r="BQ39" s="188"/>
      <c r="BU39" s="1" t="s">
        <v>76</v>
      </c>
    </row>
    <row r="40" spans="1:73" ht="25.05" customHeight="1" x14ac:dyDescent="0.3">
      <c r="B40" s="66"/>
      <c r="C40" s="67"/>
      <c r="D40" s="67"/>
      <c r="E40" s="67"/>
      <c r="F40" s="67"/>
      <c r="G40" s="67"/>
      <c r="H40" s="68"/>
      <c r="J40" s="540" t="s">
        <v>129</v>
      </c>
      <c r="K40" s="541"/>
      <c r="L40" s="541"/>
      <c r="M40" s="542"/>
      <c r="N40" s="206" t="s">
        <v>197</v>
      </c>
      <c r="O40" s="234">
        <f>IF(E13=BU38,ROUNDUP(L9*M9/1000,0),0)</f>
        <v>0</v>
      </c>
      <c r="P40" s="251"/>
      <c r="Q40" s="262">
        <f>O100*Цены!J148</f>
        <v>0</v>
      </c>
      <c r="R40" s="243"/>
      <c r="S40" s="243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5"/>
      <c r="BI40" s="5"/>
      <c r="BJ40" s="5"/>
      <c r="BK40" s="5"/>
      <c r="BU40" s="6"/>
    </row>
    <row r="41" spans="1:73" ht="25.05" customHeight="1" thickBot="1" x14ac:dyDescent="0.35">
      <c r="B41" s="66"/>
      <c r="C41" s="6"/>
      <c r="D41" s="6"/>
      <c r="E41" s="6"/>
      <c r="F41" s="6"/>
      <c r="G41" s="6"/>
      <c r="H41" s="13"/>
      <c r="J41" s="739" t="s">
        <v>585</v>
      </c>
      <c r="K41" s="740"/>
      <c r="L41" s="740"/>
      <c r="M41" s="741"/>
      <c r="N41" s="738" t="s">
        <v>586</v>
      </c>
      <c r="O41" s="742">
        <f>ROUNDUP(M17*L17/1000,0)</f>
        <v>0</v>
      </c>
      <c r="P41" s="251"/>
      <c r="Q41" s="262">
        <f>O43*Цены!J187</f>
        <v>1594.62</v>
      </c>
      <c r="R41" s="243"/>
      <c r="S41" s="243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3"/>
      <c r="AX41" s="3"/>
      <c r="AY41" s="3"/>
      <c r="AZ41" s="3"/>
      <c r="BA41" s="3"/>
      <c r="BB41" s="3"/>
      <c r="BC41" s="3"/>
      <c r="BD41" s="241" t="s">
        <v>518</v>
      </c>
      <c r="BE41" s="3"/>
      <c r="BF41" s="3"/>
      <c r="BG41" s="3"/>
      <c r="BH41" s="3"/>
      <c r="BI41" s="3"/>
      <c r="BJ41" s="3"/>
      <c r="BK41" s="3"/>
    </row>
    <row r="42" spans="1:73" ht="25.05" customHeight="1" thickBot="1" x14ac:dyDescent="0.35">
      <c r="B42" s="12"/>
      <c r="C42" s="6"/>
      <c r="D42" s="6"/>
      <c r="E42" s="6"/>
      <c r="F42" s="6"/>
      <c r="G42" s="507" t="s">
        <v>261</v>
      </c>
      <c r="H42" s="148">
        <f>ROUNDUP((AX18+AX37)*1.1,0)</f>
        <v>33</v>
      </c>
      <c r="J42" s="540" t="s">
        <v>161</v>
      </c>
      <c r="K42" s="541"/>
      <c r="L42" s="541"/>
      <c r="M42" s="542"/>
      <c r="N42" s="293" t="s">
        <v>198</v>
      </c>
      <c r="O42" s="232">
        <f>IF(O40&gt;0,M9*2,0)</f>
        <v>0</v>
      </c>
      <c r="P42" s="251"/>
      <c r="Q42" s="262" t="e">
        <f>#REF!*Цены!J113</f>
        <v>#REF!</v>
      </c>
      <c r="R42" s="243"/>
      <c r="S42" s="243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5"/>
      <c r="AX42" s="5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1:73" ht="25.05" customHeight="1" thickBot="1" x14ac:dyDescent="0.35">
      <c r="B43" s="12"/>
      <c r="C43" s="6"/>
      <c r="D43" s="6"/>
      <c r="E43" s="6"/>
      <c r="F43" s="6"/>
      <c r="G43" s="6"/>
      <c r="H43" s="13"/>
      <c r="J43" s="519" t="s">
        <v>469</v>
      </c>
      <c r="K43" s="520"/>
      <c r="L43" s="520"/>
      <c r="M43" s="521"/>
      <c r="N43" s="236" t="s">
        <v>470</v>
      </c>
      <c r="O43" s="506">
        <f>E16</f>
        <v>2</v>
      </c>
      <c r="P43" s="250"/>
      <c r="Q43" s="262">
        <f>O44*Цены!J169</f>
        <v>61.71</v>
      </c>
      <c r="R43" s="257"/>
      <c r="S43" s="257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5"/>
      <c r="AX43" s="5"/>
      <c r="AY43" s="96">
        <v>1000</v>
      </c>
      <c r="AZ43" s="96">
        <v>1250</v>
      </c>
      <c r="BA43" s="96">
        <v>1800</v>
      </c>
      <c r="BB43" s="96">
        <v>2000</v>
      </c>
      <c r="BC43" s="96">
        <v>2500</v>
      </c>
      <c r="BD43" s="96">
        <v>2700</v>
      </c>
      <c r="BE43" s="96">
        <v>3000</v>
      </c>
      <c r="BF43" s="96">
        <v>3600</v>
      </c>
      <c r="BG43" s="96">
        <v>3750</v>
      </c>
      <c r="BH43" s="96">
        <v>4000</v>
      </c>
      <c r="BI43" s="96">
        <v>5000</v>
      </c>
      <c r="BJ43" s="142">
        <v>5400</v>
      </c>
      <c r="BK43" s="187"/>
      <c r="BL43" s="186"/>
      <c r="BM43" s="186"/>
      <c r="BN43" s="186"/>
      <c r="BO43" s="186"/>
      <c r="BP43" s="186"/>
      <c r="BQ43" s="186"/>
      <c r="BU43" s="79" t="s">
        <v>118</v>
      </c>
    </row>
    <row r="44" spans="1:73" ht="25.05" customHeight="1" thickBot="1" x14ac:dyDescent="0.35">
      <c r="B44" s="14"/>
      <c r="C44" s="151"/>
      <c r="D44" s="151"/>
      <c r="E44" s="151"/>
      <c r="F44" s="151"/>
      <c r="G44" s="151"/>
      <c r="H44" s="137"/>
      <c r="J44" s="543" t="s">
        <v>579</v>
      </c>
      <c r="K44" s="544"/>
      <c r="L44" s="544"/>
      <c r="M44" s="545"/>
      <c r="N44" s="445" t="s">
        <v>580</v>
      </c>
      <c r="O44" s="499">
        <f>IF(E8=BU11,1,IF(E8=BU13,2,0))</f>
        <v>1</v>
      </c>
      <c r="P44" s="5"/>
      <c r="Q44" s="134" t="e">
        <f>SUM(Q21:Q43)</f>
        <v>#REF!</v>
      </c>
      <c r="R44" s="5"/>
      <c r="S44" s="5"/>
      <c r="T44" s="6"/>
      <c r="U44" s="6"/>
      <c r="V44" s="6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5"/>
      <c r="AX44" s="5"/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315">
        <f>BJ9</f>
        <v>4</v>
      </c>
      <c r="BK44" s="141"/>
      <c r="BL44" s="188"/>
      <c r="BM44" s="188"/>
      <c r="BN44" s="188"/>
      <c r="BO44" s="188"/>
      <c r="BP44" s="188"/>
      <c r="BQ44" s="188"/>
      <c r="BU44" s="79" t="s">
        <v>119</v>
      </c>
    </row>
    <row r="45" spans="1:73" ht="25.05" customHeight="1" thickBot="1" x14ac:dyDescent="0.35">
      <c r="J45" s="6"/>
      <c r="K45" s="6"/>
      <c r="L45" s="6"/>
      <c r="M45" s="6"/>
      <c r="N45" s="6"/>
      <c r="O45" s="6"/>
      <c r="P45" s="254"/>
      <c r="R45" s="257"/>
      <c r="S45" s="257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5"/>
      <c r="AX45" s="5"/>
      <c r="AY45" s="143">
        <v>0</v>
      </c>
      <c r="AZ45" s="143">
        <v>0</v>
      </c>
      <c r="BA45" s="143">
        <v>0</v>
      </c>
      <c r="BB45" s="143">
        <v>0</v>
      </c>
      <c r="BC45" s="141">
        <f>$BC$10</f>
        <v>0</v>
      </c>
      <c r="BD45" s="143">
        <v>0</v>
      </c>
      <c r="BE45" s="143">
        <v>0</v>
      </c>
      <c r="BF45" s="143">
        <v>0</v>
      </c>
      <c r="BG45" s="143">
        <v>0</v>
      </c>
      <c r="BH45" s="143">
        <v>0</v>
      </c>
      <c r="BI45" s="141">
        <f>$BI$10</f>
        <v>4</v>
      </c>
      <c r="BJ45" s="143">
        <v>0</v>
      </c>
      <c r="BK45" s="185">
        <f>$BK$10</f>
        <v>0</v>
      </c>
      <c r="BL45" s="185">
        <f>$BL$10</f>
        <v>4</v>
      </c>
      <c r="BM45" s="141"/>
      <c r="BN45" s="141"/>
      <c r="BO45" s="141"/>
      <c r="BP45" s="141"/>
      <c r="BQ45" s="141"/>
    </row>
    <row r="46" spans="1:73" ht="25.05" customHeight="1" thickBot="1" x14ac:dyDescent="0.35">
      <c r="K46" s="394"/>
      <c r="P46" s="5"/>
      <c r="Q46" s="134" t="e">
        <f>Q16+Q44+H33</f>
        <v>#REF!</v>
      </c>
      <c r="R46" s="5"/>
      <c r="S46" s="535" t="s">
        <v>521</v>
      </c>
      <c r="T46" s="535"/>
      <c r="U46" s="535"/>
      <c r="V46" s="535"/>
      <c r="AW46" s="88"/>
      <c r="AX46" s="88"/>
      <c r="AY46" s="143"/>
      <c r="AZ46" s="143"/>
      <c r="BA46" s="143"/>
      <c r="BB46" s="143"/>
      <c r="BC46" s="141"/>
      <c r="BD46" s="143"/>
      <c r="BE46" s="143"/>
      <c r="BF46" s="143"/>
      <c r="BG46" s="143"/>
      <c r="BH46" s="143"/>
      <c r="BI46" s="141"/>
      <c r="BJ46" s="143"/>
      <c r="BK46" s="185"/>
      <c r="BL46" s="141"/>
    </row>
    <row r="47" spans="1:73" ht="25.05" customHeight="1" x14ac:dyDescent="0.35">
      <c r="A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89"/>
      <c r="AX47" s="89"/>
      <c r="AY47" s="143">
        <v>0</v>
      </c>
      <c r="AZ47" s="143">
        <v>0</v>
      </c>
      <c r="BA47" s="143">
        <v>0</v>
      </c>
      <c r="BB47" s="143">
        <v>0</v>
      </c>
      <c r="BC47" s="141">
        <f>$BC$12</f>
        <v>0</v>
      </c>
      <c r="BD47" s="143">
        <v>0</v>
      </c>
      <c r="BE47" s="143">
        <v>0</v>
      </c>
      <c r="BF47" s="143">
        <v>0</v>
      </c>
      <c r="BG47" s="143">
        <v>0</v>
      </c>
      <c r="BH47" s="143">
        <v>0</v>
      </c>
      <c r="BI47" s="141">
        <f>$BI$12</f>
        <v>2</v>
      </c>
      <c r="BJ47" s="143">
        <v>0</v>
      </c>
      <c r="BK47" s="185">
        <f>$BK$12</f>
        <v>0</v>
      </c>
      <c r="BL47" s="185">
        <f>$BL$12</f>
        <v>2</v>
      </c>
      <c r="BM47" s="141"/>
      <c r="BN47" s="141"/>
      <c r="BO47" s="188"/>
      <c r="BP47" s="188"/>
      <c r="BQ47" s="188"/>
      <c r="BU47" s="90" t="s">
        <v>126</v>
      </c>
    </row>
    <row r="48" spans="1:73" ht="30" customHeight="1" x14ac:dyDescent="0.3">
      <c r="A48" s="6"/>
      <c r="Q48" s="5"/>
      <c r="R48" s="5"/>
      <c r="S48" s="5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"/>
      <c r="AX48" s="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85"/>
      <c r="BL48" s="185"/>
      <c r="BM48" s="141"/>
      <c r="BN48" s="141"/>
      <c r="BO48" s="188"/>
      <c r="BP48" s="188"/>
      <c r="BQ48" s="188"/>
      <c r="BU48" s="1" t="s">
        <v>94</v>
      </c>
    </row>
    <row r="49" spans="1:78" ht="30" customHeight="1" x14ac:dyDescent="0.3">
      <c r="A49" s="6"/>
      <c r="Q49" s="5"/>
      <c r="R49" s="5"/>
      <c r="S49" s="5"/>
      <c r="T49" s="88"/>
      <c r="U49" s="88"/>
      <c r="V49" s="88"/>
      <c r="W49" s="88"/>
      <c r="X49" s="88"/>
      <c r="Y49" s="88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Y49" s="143">
        <v>0</v>
      </c>
      <c r="AZ49" s="143">
        <v>0</v>
      </c>
      <c r="BA49" s="143">
        <v>0</v>
      </c>
      <c r="BB49" s="143">
        <v>0</v>
      </c>
      <c r="BC49" s="141">
        <f>IF(AND(BK49&gt;0,BK49&lt;=2500),1,0)</f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1">
        <f>IF(AND(BK49&gt;2500,BK49&lt;=4950),BL49+1,BL49)</f>
        <v>1</v>
      </c>
      <c r="BJ49" s="143">
        <v>0</v>
      </c>
      <c r="BK49" s="185">
        <f>BK38</f>
        <v>3540</v>
      </c>
      <c r="BL49" s="185">
        <f>BL38</f>
        <v>0</v>
      </c>
      <c r="BM49" s="141"/>
      <c r="BN49" s="141"/>
      <c r="BO49" s="188"/>
      <c r="BP49" s="188"/>
      <c r="BQ49" s="189"/>
      <c r="BU49" s="6"/>
    </row>
    <row r="50" spans="1:78" ht="30" customHeight="1" x14ac:dyDescent="0.3">
      <c r="A50" s="6"/>
      <c r="Q50" s="5"/>
      <c r="R50" s="5"/>
      <c r="S50" s="5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Y50" s="143">
        <v>0</v>
      </c>
      <c r="AZ50" s="143">
        <v>0</v>
      </c>
      <c r="BA50" s="191">
        <f>IF(AND(J15=CC6,BN50&gt;0,BN50&lt;=1800),1,0)</f>
        <v>0</v>
      </c>
      <c r="BB50" s="143">
        <v>0</v>
      </c>
      <c r="BC50" s="190">
        <f>IF(AND(J15=CC7,BK50&gt;0,BK50&lt;=2500),1,0)</f>
        <v>0</v>
      </c>
      <c r="BD50" s="191">
        <f>IF(AND(J15=CC6,BN50&gt;1800,BN50&lt;=2700),1,0)</f>
        <v>0</v>
      </c>
      <c r="BE50" s="143">
        <v>0</v>
      </c>
      <c r="BF50" s="191">
        <f>IF(AND(J15=CC6,BN50&gt;2700,BN50&lt;=3600),1,0)</f>
        <v>0</v>
      </c>
      <c r="BG50" s="143">
        <v>0</v>
      </c>
      <c r="BH50" s="143">
        <v>0</v>
      </c>
      <c r="BI50" s="190">
        <f>IF(AND(J15=CC7,BK50&gt;2500,BK50&lt;=4950),BL50+1,BL50)</f>
        <v>0</v>
      </c>
      <c r="BJ50" s="191">
        <f>IF(AND(J15=CC6,BN50&gt;3600,BN50&lt;=5350),BO50+1,BO50)</f>
        <v>0</v>
      </c>
      <c r="BK50" s="185">
        <f>BK39</f>
        <v>0</v>
      </c>
      <c r="BL50" s="185">
        <f>BL39</f>
        <v>0</v>
      </c>
      <c r="BM50" s="185"/>
      <c r="BN50" s="185">
        <f>BN39</f>
        <v>0</v>
      </c>
      <c r="BO50" s="185">
        <f>BO39</f>
        <v>0</v>
      </c>
      <c r="BP50" s="188"/>
      <c r="BQ50" s="188"/>
      <c r="BU50" s="38" t="str">
        <f>Цены!G6</f>
        <v>Серебро матовое</v>
      </c>
    </row>
    <row r="51" spans="1:78" x14ac:dyDescent="0.3">
      <c r="A51" s="6"/>
      <c r="Q51" s="5"/>
      <c r="R51" s="5"/>
      <c r="S51" s="5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BU51" s="38" t="str">
        <f>Цены!G7</f>
        <v>Черный матовый</v>
      </c>
    </row>
    <row r="52" spans="1:78" x14ac:dyDescent="0.3">
      <c r="A52" s="6"/>
      <c r="Q52" s="5"/>
      <c r="R52" s="5"/>
      <c r="S52" s="5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BU52" s="38" t="str">
        <f>Цены!G8</f>
        <v>Слоновая кость</v>
      </c>
    </row>
    <row r="53" spans="1:78" x14ac:dyDescent="0.3">
      <c r="Q53" s="5"/>
      <c r="R53" s="5"/>
      <c r="S53" s="5"/>
      <c r="T53" s="6"/>
      <c r="U53" s="6"/>
      <c r="BU53" s="38" t="str">
        <f>Цены!G9</f>
        <v>Белый матовый</v>
      </c>
    </row>
    <row r="54" spans="1:78" x14ac:dyDescent="0.3">
      <c r="Q54" s="6"/>
      <c r="R54" s="6"/>
      <c r="S54" s="6"/>
      <c r="T54" s="6"/>
      <c r="U54" s="6"/>
      <c r="BU54" s="38" t="str">
        <f>Цены!G10</f>
        <v xml:space="preserve">Венге темный </v>
      </c>
    </row>
    <row r="55" spans="1:78" x14ac:dyDescent="0.3">
      <c r="Q55" s="6"/>
      <c r="R55" s="6"/>
      <c r="S55" s="6"/>
      <c r="T55" s="6"/>
      <c r="U55" s="6"/>
      <c r="BU55" s="38" t="str">
        <f>Цены!G11</f>
        <v>Дуб белый</v>
      </c>
    </row>
    <row r="56" spans="1:78" x14ac:dyDescent="0.3">
      <c r="BU56" s="38" t="str">
        <f>Цены!G12</f>
        <v xml:space="preserve"> медь античная*</v>
      </c>
    </row>
    <row r="57" spans="1:78" x14ac:dyDescent="0.3">
      <c r="BU57" s="38" t="str">
        <f>Цены!G13</f>
        <v>сталь воронёная</v>
      </c>
    </row>
    <row r="58" spans="1:78" x14ac:dyDescent="0.3">
      <c r="BU58" s="38" t="str">
        <f>Цены!G14</f>
        <v>золото матовое</v>
      </c>
      <c r="BZ58" s="1" t="s">
        <v>471</v>
      </c>
    </row>
    <row r="59" spans="1:78" x14ac:dyDescent="0.3">
      <c r="BU59" s="38" t="str">
        <f>Цены!G15</f>
        <v>антрацит</v>
      </c>
      <c r="BZ59" s="1" t="s">
        <v>473</v>
      </c>
    </row>
    <row r="60" spans="1:78" x14ac:dyDescent="0.3">
      <c r="BU60" s="38" t="str">
        <f>Цены!G16</f>
        <v>кварц бронзовый*</v>
      </c>
      <c r="BZ60" s="1" t="s">
        <v>472</v>
      </c>
    </row>
    <row r="61" spans="1:78" x14ac:dyDescent="0.3">
      <c r="BU61" s="38" t="str">
        <f>Цены!G17</f>
        <v>жемчуг серый*</v>
      </c>
      <c r="BZ61" s="1" t="s">
        <v>474</v>
      </c>
    </row>
    <row r="62" spans="1:78" x14ac:dyDescent="0.3">
      <c r="BU62" s="38" t="str">
        <f>Цены!G18</f>
        <v>жемчуг розовый*</v>
      </c>
      <c r="BZ62" s="1" t="s">
        <v>475</v>
      </c>
    </row>
    <row r="63" spans="1:78" x14ac:dyDescent="0.3">
      <c r="BU63" s="38"/>
    </row>
    <row r="73" spans="75:75" ht="15.6" x14ac:dyDescent="0.3">
      <c r="BW73" s="48">
        <v>0</v>
      </c>
    </row>
    <row r="74" spans="75:75" ht="15.6" x14ac:dyDescent="0.3">
      <c r="BW74" s="48">
        <v>1</v>
      </c>
    </row>
    <row r="75" spans="75:75" ht="15.6" x14ac:dyDescent="0.3">
      <c r="BW75" s="48">
        <v>2</v>
      </c>
    </row>
    <row r="76" spans="75:75" ht="15.6" x14ac:dyDescent="0.3">
      <c r="BW76" s="48">
        <v>3</v>
      </c>
    </row>
    <row r="77" spans="75:75" ht="15.6" x14ac:dyDescent="0.3">
      <c r="BW77" s="48">
        <v>4</v>
      </c>
    </row>
    <row r="78" spans="75:75" ht="15.6" x14ac:dyDescent="0.3">
      <c r="BW78" s="48">
        <v>5</v>
      </c>
    </row>
    <row r="83" spans="16:73" x14ac:dyDescent="0.3">
      <c r="BU83" s="1" t="s">
        <v>175</v>
      </c>
    </row>
    <row r="84" spans="16:73" x14ac:dyDescent="0.3">
      <c r="BU84" s="1" t="s">
        <v>174</v>
      </c>
    </row>
    <row r="92" spans="16:73" ht="15.6" x14ac:dyDescent="0.3">
      <c r="P92" s="251"/>
      <c r="Q92" s="262">
        <f>O42*Цены!J178</f>
        <v>0</v>
      </c>
    </row>
    <row r="99" spans="2:15" ht="18" x14ac:dyDescent="0.3">
      <c r="B99" s="194"/>
      <c r="D99" s="457"/>
      <c r="K99" s="457"/>
    </row>
    <row r="100" spans="2:15" ht="18" hidden="1" x14ac:dyDescent="0.3">
      <c r="B100" s="555" t="s">
        <v>169</v>
      </c>
      <c r="C100" s="556"/>
      <c r="D100" s="556"/>
      <c r="E100" s="525">
        <v>0</v>
      </c>
      <c r="F100" s="525"/>
      <c r="G100" s="525"/>
      <c r="H100" s="526"/>
      <c r="J100" s="540" t="s">
        <v>162</v>
      </c>
      <c r="K100" s="541"/>
      <c r="L100" s="541"/>
      <c r="M100" s="542"/>
      <c r="N100" s="206" t="s">
        <v>571</v>
      </c>
      <c r="O100" s="232">
        <f>E100</f>
        <v>0</v>
      </c>
    </row>
    <row r="150" spans="2:7" ht="18" x14ac:dyDescent="0.3">
      <c r="B150" s="366"/>
      <c r="C150" s="366"/>
      <c r="G150" s="50"/>
    </row>
  </sheetData>
  <sheetProtection algorithmName="SHA-512" hashValue="N0muiha65jV1uC+Wfp0/lcob1sSw8U+OGj1dJ8eTFC2a+6wOjmmJcl9GZbvZpOvoiXPT0VBD6UK+TRAkTp8xsg==" saltValue="i+jdJ5jGDgbRecEwwWqiTA==" spinCount="100000" sheet="1" selectLockedCells="1"/>
  <mergeCells count="85">
    <mergeCell ref="J41:M41"/>
    <mergeCell ref="B15:D15"/>
    <mergeCell ref="E15:H15"/>
    <mergeCell ref="J1:O1"/>
    <mergeCell ref="J21:M21"/>
    <mergeCell ref="J22:M22"/>
    <mergeCell ref="J23:M23"/>
    <mergeCell ref="J3:K3"/>
    <mergeCell ref="J6:M6"/>
    <mergeCell ref="B1:H1"/>
    <mergeCell ref="E100:H100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B14:D14"/>
    <mergeCell ref="E12:H12"/>
    <mergeCell ref="B100:D100"/>
    <mergeCell ref="B16:D16"/>
    <mergeCell ref="E16:H16"/>
    <mergeCell ref="E33:G33"/>
    <mergeCell ref="B12:D12"/>
    <mergeCell ref="B13:D13"/>
    <mergeCell ref="V3:X3"/>
    <mergeCell ref="Y3:Z3"/>
    <mergeCell ref="J30:M30"/>
    <mergeCell ref="J29:M29"/>
    <mergeCell ref="T7:AG7"/>
    <mergeCell ref="AG12:AG13"/>
    <mergeCell ref="O11:O12"/>
    <mergeCell ref="E13:H13"/>
    <mergeCell ref="E14:H14"/>
    <mergeCell ref="J28:M28"/>
    <mergeCell ref="N11:N12"/>
    <mergeCell ref="J27:M27"/>
    <mergeCell ref="J26:M26"/>
    <mergeCell ref="X12:X13"/>
    <mergeCell ref="J24:M24"/>
    <mergeCell ref="AB12:AB13"/>
    <mergeCell ref="AA18:AF18"/>
    <mergeCell ref="J25:M25"/>
    <mergeCell ref="T16:AF16"/>
    <mergeCell ref="Z12:Z13"/>
    <mergeCell ref="AC12:AC13"/>
    <mergeCell ref="AD12:AD13"/>
    <mergeCell ref="AF12:AF13"/>
    <mergeCell ref="V12:V13"/>
    <mergeCell ref="Y12:Y13"/>
    <mergeCell ref="AA12:AA13"/>
    <mergeCell ref="AE12:AE13"/>
    <mergeCell ref="T12:T13"/>
    <mergeCell ref="W12:W13"/>
    <mergeCell ref="Q4:Q5"/>
    <mergeCell ref="S46:V46"/>
    <mergeCell ref="J7:O7"/>
    <mergeCell ref="Q12:Q13"/>
    <mergeCell ref="J100:M100"/>
    <mergeCell ref="J33:M33"/>
    <mergeCell ref="J36:M36"/>
    <mergeCell ref="J37:M37"/>
    <mergeCell ref="J38:M38"/>
    <mergeCell ref="J44:M44"/>
    <mergeCell ref="J32:M32"/>
    <mergeCell ref="J42:M42"/>
    <mergeCell ref="J43:M43"/>
    <mergeCell ref="J39:M39"/>
    <mergeCell ref="J40:M40"/>
    <mergeCell ref="E6:H6"/>
    <mergeCell ref="E7:H7"/>
    <mergeCell ref="E8:H8"/>
    <mergeCell ref="E9:H9"/>
    <mergeCell ref="E10:H10"/>
    <mergeCell ref="E11:H11"/>
    <mergeCell ref="U12:U13"/>
    <mergeCell ref="J31:M31"/>
    <mergeCell ref="J34:M34"/>
    <mergeCell ref="J35:M35"/>
  </mergeCells>
  <conditionalFormatting sqref="E8">
    <cfRule type="cellIs" dxfId="175" priority="106" operator="greaterThan">
      <formula>0</formula>
    </cfRule>
  </conditionalFormatting>
  <conditionalFormatting sqref="E14 E100">
    <cfRule type="cellIs" dxfId="174" priority="80" operator="greaterThan">
      <formula>0</formula>
    </cfRule>
  </conditionalFormatting>
  <conditionalFormatting sqref="T9:AE15">
    <cfRule type="cellIs" dxfId="173" priority="70" operator="equal">
      <formula>0</formula>
    </cfRule>
  </conditionalFormatting>
  <conditionalFormatting sqref="K4">
    <cfRule type="expression" dxfId="172" priority="44">
      <formula>$K$4&gt;3200</formula>
    </cfRule>
  </conditionalFormatting>
  <conditionalFormatting sqref="H42">
    <cfRule type="expression" dxfId="171" priority="38">
      <formula>$H$42&gt;60</formula>
    </cfRule>
  </conditionalFormatting>
  <conditionalFormatting sqref="AG16:AO16 L12:M12 E28 F28:H32 K4:K5 H33 AH23:AO23 AH21:AO21 L9:P10 AH25:AO26 R17 R16:S16 R45:S45 R14 R9:AO9 T14:AG14 R15:AG15 AV25:AV26 AV21 AV23 AV14 AH13:AT15 AV16 R21:R31 S12:S14 R12 AV9:AV10 R10:AU10 AF12:AV12 T11:AT11 P12 N11:O11 L15:P15 P14 L13:O13 R32:S43 P92 O100 P21:P43 O22:O30 O32:O40 O42">
    <cfRule type="expression" dxfId="170" priority="367">
      <formula>$E$4=0</formula>
    </cfRule>
  </conditionalFormatting>
  <conditionalFormatting sqref="AV31 AH31:AO31 AG18">
    <cfRule type="expression" dxfId="169" priority="385">
      <formula>$E$4=0</formula>
    </cfRule>
  </conditionalFormatting>
  <conditionalFormatting sqref="K5">
    <cfRule type="expression" dxfId="168" priority="386">
      <formula>AND(OR($K$5&lt;500,$K$5&gt;1200),$E$4&gt;0)</formula>
    </cfRule>
  </conditionalFormatting>
  <conditionalFormatting sqref="E4:H4">
    <cfRule type="expression" dxfId="167" priority="37">
      <formula>$E$4&gt;5000</formula>
    </cfRule>
  </conditionalFormatting>
  <conditionalFormatting sqref="AH27:AO27 AV27">
    <cfRule type="expression" dxfId="166" priority="36">
      <formula>$E$4=0</formula>
    </cfRule>
  </conditionalFormatting>
  <conditionalFormatting sqref="AH22:AO22 AV22">
    <cfRule type="expression" dxfId="165" priority="33">
      <formula>$E$4=0</formula>
    </cfRule>
  </conditionalFormatting>
  <conditionalFormatting sqref="E16">
    <cfRule type="cellIs" dxfId="164" priority="22" operator="greaterThan">
      <formula>0</formula>
    </cfRule>
  </conditionalFormatting>
  <conditionalFormatting sqref="AP25:AU26 AP21:AU21 AP23:AU23 AP9:AU9 AP16:AU16 AU14">
    <cfRule type="expression" dxfId="163" priority="20">
      <formula>$E$4=0</formula>
    </cfRule>
  </conditionalFormatting>
  <conditionalFormatting sqref="AP31:AU31">
    <cfRule type="expression" dxfId="162" priority="21">
      <formula>$E$4=0</formula>
    </cfRule>
  </conditionalFormatting>
  <conditionalFormatting sqref="AP27:AU27">
    <cfRule type="expression" dxfId="161" priority="19">
      <formula>$E$4=0</formula>
    </cfRule>
  </conditionalFormatting>
  <conditionalFormatting sqref="AP22:AU22">
    <cfRule type="expression" dxfId="160" priority="18">
      <formula>$E$4=0</formula>
    </cfRule>
  </conditionalFormatting>
  <conditionalFormatting sqref="D24:G24">
    <cfRule type="expression" dxfId="159" priority="1154">
      <formula>$D$24=$AF$40</formula>
    </cfRule>
  </conditionalFormatting>
  <conditionalFormatting sqref="C34">
    <cfRule type="expression" dxfId="158" priority="1155">
      <formula>$C$34=$BU$43</formula>
    </cfRule>
    <cfRule type="expression" dxfId="157" priority="1156">
      <formula>$C$34=$BU$44</formula>
    </cfRule>
  </conditionalFormatting>
  <conditionalFormatting sqref="C38">
    <cfRule type="expression" dxfId="156" priority="1157">
      <formula>$C$38=$BU$47</formula>
    </cfRule>
  </conditionalFormatting>
  <conditionalFormatting sqref="L14:O14">
    <cfRule type="expression" dxfId="155" priority="9">
      <formula>$E$4=0</formula>
    </cfRule>
  </conditionalFormatting>
  <conditionalFormatting sqref="L16:O16 N18 O17">
    <cfRule type="expression" dxfId="154" priority="8">
      <formula>$E$4=0</formula>
    </cfRule>
  </conditionalFormatting>
  <conditionalFormatting sqref="L18:M18 O18">
    <cfRule type="expression" dxfId="153" priority="7">
      <formula>$E$4=0</formula>
    </cfRule>
  </conditionalFormatting>
  <conditionalFormatting sqref="E9">
    <cfRule type="expression" dxfId="152" priority="1173">
      <formula>OR($E$8=$BU$10,$E$8=$BU$11,$E$8=$BU$12)</formula>
    </cfRule>
  </conditionalFormatting>
  <conditionalFormatting sqref="E10">
    <cfRule type="expression" dxfId="151" priority="1177">
      <formula>AND($E$8=$BU$11,$E$10&lt;3)</formula>
    </cfRule>
    <cfRule type="expression" dxfId="150" priority="1178">
      <formula>OR($E$8=$BU$6,$E$8=$BU$7,$E$8=$BU$9,$E$8=$BU$13,$E$8=$BU$14)</formula>
    </cfRule>
  </conditionalFormatting>
  <conditionalFormatting sqref="E10:H10">
    <cfRule type="expression" dxfId="149" priority="6">
      <formula>AND($E$8=$BU$12,$E$10&lt;3)</formula>
    </cfRule>
  </conditionalFormatting>
  <conditionalFormatting sqref="O44">
    <cfRule type="expression" dxfId="148" priority="5">
      <formula>$E$4=0</formula>
    </cfRule>
  </conditionalFormatting>
  <conditionalFormatting sqref="E11:H11">
    <cfRule type="expression" dxfId="147" priority="4">
      <formula>AND(OR($E$8=$BU$10,$E$8=$BU$11,$E$8=$BU$12),$E$11=$BU$24)</formula>
    </cfRule>
  </conditionalFormatting>
  <conditionalFormatting sqref="O31">
    <cfRule type="expression" dxfId="146" priority="3">
      <formula>$E$4=0</formula>
    </cfRule>
  </conditionalFormatting>
  <conditionalFormatting sqref="L17:N17">
    <cfRule type="expression" dxfId="145" priority="2">
      <formula>$E$4=0</formula>
    </cfRule>
  </conditionalFormatting>
  <conditionalFormatting sqref="E15">
    <cfRule type="cellIs" dxfId="144" priority="1" operator="greaterThan">
      <formula>0</formula>
    </cfRule>
  </conditionalFormatting>
  <dataValidations count="10">
    <dataValidation type="list" allowBlank="1" showInputMessage="1" showErrorMessage="1" sqref="E11:E12 E14:E15">
      <formula1>$BU$23:$BU$24</formula1>
    </dataValidation>
    <dataValidation type="list" allowBlank="1" showInputMessage="1" showErrorMessage="1" sqref="C28:C32">
      <formula1>$BU$27:$BU$29</formula1>
    </dataValidation>
    <dataValidation type="whole" allowBlank="1" showInputMessage="1" showErrorMessage="1" sqref="E100">
      <formula1>0</formula1>
      <formula2>20</formula2>
    </dataValidation>
    <dataValidation type="whole" allowBlank="1" showInputMessage="1" showErrorMessage="1" errorTitle="Неверное количество" error="Введите количество от 0 до 10" sqref="E16:H16">
      <formula1>0</formula1>
      <formula2>10</formula2>
    </dataValidation>
    <dataValidation type="list" allowBlank="1" showInputMessage="1" showErrorMessage="1" sqref="E5">
      <formula1>$BW$73:$BW$77</formula1>
    </dataValidation>
    <dataValidation type="list" allowBlank="1" showInputMessage="1" showErrorMessage="1" sqref="E7:H7">
      <formula1>$BU$50:$BU$62</formula1>
    </dataValidation>
    <dataValidation type="list" allowBlank="1" showInputMessage="1" showErrorMessage="1" sqref="Y3:Z3">
      <formula1>$CD$21:$CD$28</formula1>
    </dataValidation>
    <dataValidation type="whole" allowBlank="1" showInputMessage="1" showErrorMessage="1" sqref="E6:H6">
      <formula1>0</formula1>
      <formula2>100</formula2>
    </dataValidation>
    <dataValidation type="list" allowBlank="1" showInputMessage="1" showErrorMessage="1" sqref="E13:H13">
      <formula1>$BU$37:$BU$39</formula1>
    </dataValidation>
    <dataValidation type="list" allowBlank="1" showInputMessage="1" showErrorMessage="1" sqref="E8:H8">
      <formula1>$BU$6:$BU$14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D34:G34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M70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222" customWidth="1"/>
    <col min="14" max="14" width="14.77734375" style="222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54" hidden="1" customWidth="1"/>
    <col min="55" max="55" width="13.5546875" style="54" hidden="1" customWidth="1"/>
    <col min="56" max="56" width="12.77734375" style="54" hidden="1" customWidth="1"/>
    <col min="57" max="64" width="10.109375" style="54" hidden="1" customWidth="1"/>
    <col min="65" max="65" width="12.77734375" style="54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574" t="s">
        <v>104</v>
      </c>
      <c r="C1" s="574"/>
      <c r="D1" s="574"/>
      <c r="E1" s="574"/>
      <c r="F1" s="574"/>
      <c r="G1" s="574"/>
      <c r="H1" s="574"/>
      <c r="I1" s="149"/>
      <c r="J1" s="149"/>
      <c r="K1" s="574" t="s">
        <v>105</v>
      </c>
      <c r="L1" s="574"/>
      <c r="M1" s="574"/>
      <c r="N1" s="574"/>
      <c r="O1" s="574"/>
      <c r="P1" s="574"/>
      <c r="Q1" s="244"/>
      <c r="R1" s="244"/>
      <c r="S1" s="203"/>
      <c r="T1" s="203"/>
      <c r="U1" s="203"/>
    </row>
    <row r="2" spans="2:91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279"/>
      <c r="N2" s="279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</row>
    <row r="3" spans="2:91" s="4" customFormat="1" ht="25.05" customHeight="1" thickBot="1" x14ac:dyDescent="0.35">
      <c r="B3" s="575" t="s">
        <v>121</v>
      </c>
      <c r="C3" s="576"/>
      <c r="D3" s="576"/>
      <c r="E3" s="583">
        <v>2600</v>
      </c>
      <c r="F3" s="583"/>
      <c r="G3" s="583"/>
      <c r="H3" s="584"/>
      <c r="K3" s="592" t="s">
        <v>263</v>
      </c>
      <c r="L3" s="613"/>
      <c r="M3" s="340"/>
      <c r="N3" s="342"/>
      <c r="O3" s="421"/>
      <c r="P3" s="421"/>
      <c r="Q3" s="326"/>
      <c r="R3" s="326"/>
      <c r="S3" s="3"/>
      <c r="T3" s="3"/>
      <c r="U3" s="3"/>
      <c r="W3" s="617" t="s">
        <v>417</v>
      </c>
      <c r="X3" s="618"/>
      <c r="Y3" s="619"/>
      <c r="Z3" s="560" t="s">
        <v>418</v>
      </c>
      <c r="AA3" s="56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B3" s="3"/>
      <c r="BC3" s="3"/>
      <c r="BD3" s="3"/>
      <c r="BE3" s="3"/>
      <c r="BF3" s="241" t="s">
        <v>418</v>
      </c>
      <c r="BG3" s="3"/>
      <c r="BH3" s="3"/>
      <c r="BI3" s="3"/>
      <c r="BJ3" s="3"/>
      <c r="BK3" s="3"/>
      <c r="BL3" s="3"/>
      <c r="BM3" s="3"/>
    </row>
    <row r="4" spans="2:91" ht="25.05" customHeight="1" x14ac:dyDescent="0.3">
      <c r="B4" s="577" t="s">
        <v>426</v>
      </c>
      <c r="C4" s="578"/>
      <c r="D4" s="578"/>
      <c r="E4" s="585">
        <v>2500</v>
      </c>
      <c r="F4" s="585"/>
      <c r="G4" s="585"/>
      <c r="H4" s="586"/>
      <c r="K4" s="21" t="s">
        <v>428</v>
      </c>
      <c r="L4" s="333">
        <f>E3-60</f>
        <v>2540</v>
      </c>
      <c r="M4" s="332" t="s">
        <v>430</v>
      </c>
      <c r="N4" s="343">
        <f>E3-60</f>
        <v>2540</v>
      </c>
      <c r="O4" s="6"/>
      <c r="P4" s="6"/>
      <c r="Q4" s="6"/>
      <c r="R4" s="6"/>
      <c r="S4" s="533" t="s">
        <v>453</v>
      </c>
      <c r="T4" s="6"/>
      <c r="U4" s="6"/>
      <c r="V4" s="6"/>
      <c r="W4" s="6"/>
      <c r="X4" s="6"/>
      <c r="Y4" s="6"/>
      <c r="Z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2:91" ht="25.05" customHeight="1" thickBot="1" x14ac:dyDescent="0.35">
      <c r="B5" s="577" t="s">
        <v>427</v>
      </c>
      <c r="C5" s="578"/>
      <c r="D5" s="578"/>
      <c r="E5" s="585">
        <v>2500</v>
      </c>
      <c r="F5" s="585"/>
      <c r="G5" s="585"/>
      <c r="H5" s="586"/>
      <c r="K5" s="150" t="s">
        <v>429</v>
      </c>
      <c r="L5" s="334">
        <f>ROUNDUP(IF(OR(E13=BY38,E13=BY39),(E4-10-5-34+39*(E9-1))/E9,(E4-10-34+39*(E9-1))/E9),0)</f>
        <v>845</v>
      </c>
      <c r="M5" s="335" t="s">
        <v>431</v>
      </c>
      <c r="N5" s="344">
        <f>ROUNDUP(IF(OR(E13=BY38,E13=BY39),(E5-10-5-34+39*(E10-1))/E10,(E5-10-34+39*(E10-1))/E10),0)</f>
        <v>845</v>
      </c>
      <c r="O5" s="6"/>
      <c r="P5" s="6"/>
      <c r="Q5" s="327"/>
      <c r="R5" s="327"/>
      <c r="S5" s="534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141" t="s">
        <v>256</v>
      </c>
      <c r="BB5" s="141"/>
      <c r="BC5" s="141"/>
      <c r="BD5" s="185">
        <v>4950</v>
      </c>
      <c r="BE5" s="185"/>
      <c r="BF5" s="185"/>
      <c r="BG5" s="185"/>
      <c r="BH5" s="185"/>
      <c r="BI5" s="185"/>
      <c r="BJ5" s="185"/>
      <c r="BK5" s="185"/>
      <c r="BL5" s="185"/>
      <c r="BM5" s="185"/>
      <c r="BN5" s="186"/>
      <c r="BO5" s="186"/>
      <c r="BP5" s="186"/>
      <c r="BQ5" s="186"/>
      <c r="BR5" s="186"/>
      <c r="BS5" s="186"/>
      <c r="BT5" s="6"/>
      <c r="BU5" s="6"/>
      <c r="BV5" s="6"/>
      <c r="BW5" s="6"/>
      <c r="BX5" s="6"/>
    </row>
    <row r="6" spans="2:91" ht="25.05" customHeight="1" thickBot="1" x14ac:dyDescent="0.35">
      <c r="B6" s="577" t="s">
        <v>442</v>
      </c>
      <c r="C6" s="578"/>
      <c r="D6" s="578"/>
      <c r="E6" s="525">
        <v>0</v>
      </c>
      <c r="F6" s="525"/>
      <c r="G6" s="525"/>
      <c r="H6" s="526"/>
      <c r="K6" s="594"/>
      <c r="L6" s="594"/>
      <c r="M6" s="594"/>
      <c r="N6" s="59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400"/>
      <c r="AK6" s="400"/>
      <c r="AL6" s="400"/>
      <c r="AM6" s="400"/>
      <c r="AN6" s="400"/>
      <c r="AO6" s="400"/>
      <c r="AP6" s="400"/>
      <c r="AQ6" s="400"/>
      <c r="AR6" s="400"/>
      <c r="AS6" s="400"/>
      <c r="AT6" s="400"/>
      <c r="AU6" s="400"/>
      <c r="AV6" s="400"/>
      <c r="AW6" s="400"/>
      <c r="AX6" s="400"/>
      <c r="AY6" s="3"/>
      <c r="AZ6" s="3"/>
      <c r="BA6" s="141" t="s">
        <v>257</v>
      </c>
      <c r="BB6" s="141"/>
      <c r="BC6" s="141"/>
      <c r="BD6" s="141">
        <v>5025</v>
      </c>
      <c r="BE6" s="185"/>
      <c r="BF6" s="141"/>
      <c r="BG6" s="141"/>
      <c r="BH6" s="141"/>
      <c r="BI6" s="141"/>
      <c r="BJ6" s="141"/>
      <c r="BK6" s="141"/>
      <c r="BL6" s="141"/>
      <c r="BM6" s="141"/>
      <c r="BN6" s="186"/>
      <c r="BO6" s="186"/>
      <c r="BP6" s="186"/>
      <c r="BQ6" s="186"/>
      <c r="BR6" s="186"/>
      <c r="BS6" s="186"/>
      <c r="BT6" s="6"/>
      <c r="BU6" s="6"/>
      <c r="BV6" s="6"/>
      <c r="BW6" s="6"/>
      <c r="BX6" s="6"/>
      <c r="BY6" s="50"/>
      <c r="CG6" s="1" t="s">
        <v>451</v>
      </c>
      <c r="CH6" s="1" t="s">
        <v>237</v>
      </c>
      <c r="CI6" s="1">
        <f>IF(E7=CG6,9,8)</f>
        <v>8</v>
      </c>
      <c r="CM6" s="48">
        <v>0</v>
      </c>
    </row>
    <row r="7" spans="2:91" ht="25.05" customHeight="1" x14ac:dyDescent="0.3">
      <c r="B7" s="577" t="s">
        <v>236</v>
      </c>
      <c r="C7" s="578"/>
      <c r="D7" s="578"/>
      <c r="E7" s="525" t="s">
        <v>452</v>
      </c>
      <c r="F7" s="525"/>
      <c r="G7" s="525"/>
      <c r="H7" s="526"/>
      <c r="K7" s="592" t="s">
        <v>181</v>
      </c>
      <c r="L7" s="613"/>
      <c r="M7" s="613"/>
      <c r="N7" s="613"/>
      <c r="O7" s="398"/>
      <c r="P7" s="399"/>
      <c r="Q7" s="324"/>
      <c r="R7" s="324"/>
      <c r="S7" s="258"/>
      <c r="T7" s="324"/>
      <c r="U7" s="397"/>
      <c r="V7" s="563" t="s">
        <v>100</v>
      </c>
      <c r="W7" s="563"/>
      <c r="X7" s="563"/>
      <c r="Y7" s="563"/>
      <c r="Z7" s="563"/>
      <c r="AA7" s="563"/>
      <c r="AB7" s="563"/>
      <c r="AC7" s="563"/>
      <c r="AD7" s="563"/>
      <c r="AE7" s="563"/>
      <c r="AF7" s="563"/>
      <c r="AG7" s="563"/>
      <c r="AH7" s="563"/>
      <c r="AI7" s="564"/>
      <c r="AJ7" s="434"/>
      <c r="AK7" s="434"/>
      <c r="AL7" s="434"/>
      <c r="AM7" s="434"/>
      <c r="AN7" s="434"/>
      <c r="AO7" s="434"/>
      <c r="AP7" s="434"/>
      <c r="AQ7" s="434"/>
      <c r="AR7" s="434"/>
      <c r="AS7" s="434"/>
      <c r="AT7" s="434"/>
      <c r="AU7" s="434"/>
      <c r="AV7" s="434"/>
      <c r="AW7" s="434"/>
      <c r="AX7" s="434"/>
      <c r="AY7" s="3" t="s">
        <v>265</v>
      </c>
      <c r="AZ7" s="3"/>
      <c r="BA7" s="185" t="s">
        <v>258</v>
      </c>
      <c r="BB7" s="185"/>
      <c r="BC7" s="185"/>
      <c r="BD7" s="141">
        <v>5350</v>
      </c>
      <c r="BE7" s="185"/>
      <c r="BF7" s="141"/>
      <c r="BG7" s="141"/>
      <c r="BH7" s="141"/>
      <c r="BI7" s="141"/>
      <c r="BJ7" s="141"/>
      <c r="BK7" s="141"/>
      <c r="BL7" s="141"/>
      <c r="BM7" s="141"/>
      <c r="BN7" s="186"/>
      <c r="BO7" s="186"/>
      <c r="BP7" s="186"/>
      <c r="BQ7" s="186"/>
      <c r="BR7" s="186"/>
      <c r="BS7" s="186"/>
      <c r="BT7" s="6"/>
      <c r="BU7" s="6"/>
      <c r="BV7" s="6"/>
      <c r="BW7" s="6"/>
      <c r="BX7" s="6"/>
      <c r="BY7" s="51" t="s">
        <v>95</v>
      </c>
      <c r="CG7" s="1" t="s">
        <v>452</v>
      </c>
      <c r="CH7" s="1" t="s">
        <v>253</v>
      </c>
      <c r="CM7" s="48">
        <v>1</v>
      </c>
    </row>
    <row r="8" spans="2:91" ht="25.05" customHeight="1" x14ac:dyDescent="0.3">
      <c r="B8" s="577" t="s">
        <v>122</v>
      </c>
      <c r="C8" s="578"/>
      <c r="D8" s="578"/>
      <c r="E8" s="525" t="s">
        <v>227</v>
      </c>
      <c r="F8" s="525"/>
      <c r="G8" s="525"/>
      <c r="H8" s="526"/>
      <c r="K8" s="395" t="s">
        <v>0</v>
      </c>
      <c r="L8" s="396" t="s">
        <v>1</v>
      </c>
      <c r="M8" s="396" t="s">
        <v>7</v>
      </c>
      <c r="N8" s="205" t="s">
        <v>267</v>
      </c>
      <c r="O8" s="205" t="s">
        <v>101</v>
      </c>
      <c r="P8" s="239" t="s">
        <v>23</v>
      </c>
      <c r="Q8" s="140"/>
      <c r="R8" s="140"/>
      <c r="S8" s="259" t="s">
        <v>24</v>
      </c>
      <c r="T8" s="140"/>
      <c r="U8" s="319"/>
      <c r="V8" s="96">
        <v>1000</v>
      </c>
      <c r="W8" s="96">
        <v>1250</v>
      </c>
      <c r="X8" s="96">
        <v>1800</v>
      </c>
      <c r="Y8" s="96">
        <v>2000</v>
      </c>
      <c r="Z8" s="96">
        <v>2500</v>
      </c>
      <c r="AA8" s="96">
        <v>2700</v>
      </c>
      <c r="AB8" s="96">
        <v>3000</v>
      </c>
      <c r="AC8" s="96">
        <v>3600</v>
      </c>
      <c r="AD8" s="96">
        <v>3750</v>
      </c>
      <c r="AE8" s="96">
        <v>4000</v>
      </c>
      <c r="AF8" s="96">
        <v>5000</v>
      </c>
      <c r="AG8" s="96">
        <v>5400</v>
      </c>
      <c r="AH8" s="205" t="s">
        <v>101</v>
      </c>
      <c r="AI8" s="52" t="s">
        <v>24</v>
      </c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435"/>
      <c r="AY8" s="53"/>
      <c r="AZ8" s="53"/>
      <c r="BA8" s="96">
        <v>1000</v>
      </c>
      <c r="BB8" s="96">
        <v>1250</v>
      </c>
      <c r="BC8" s="96">
        <v>1800</v>
      </c>
      <c r="BD8" s="96">
        <v>2000</v>
      </c>
      <c r="BE8" s="96">
        <v>2500</v>
      </c>
      <c r="BF8" s="96">
        <v>2700</v>
      </c>
      <c r="BG8" s="96">
        <v>3000</v>
      </c>
      <c r="BH8" s="96">
        <v>3600</v>
      </c>
      <c r="BI8" s="96">
        <v>3750</v>
      </c>
      <c r="BJ8" s="96">
        <v>4000</v>
      </c>
      <c r="BK8" s="96">
        <v>5000</v>
      </c>
      <c r="BL8" s="142">
        <v>5400</v>
      </c>
      <c r="BM8" s="348"/>
      <c r="BN8" s="349"/>
      <c r="BO8" s="186"/>
      <c r="BP8" s="346"/>
      <c r="BQ8" s="347"/>
      <c r="BR8" s="186"/>
      <c r="BS8" s="186"/>
      <c r="BT8" s="6"/>
      <c r="BU8" s="6"/>
      <c r="BV8" s="6"/>
      <c r="BW8" s="6" t="s">
        <v>128</v>
      </c>
      <c r="BX8" s="6"/>
      <c r="BY8" s="51" t="s">
        <v>96</v>
      </c>
      <c r="CM8" s="48">
        <v>2</v>
      </c>
    </row>
    <row r="9" spans="2:91" ht="25.05" customHeight="1" x14ac:dyDescent="0.35">
      <c r="B9" s="579" t="s">
        <v>432</v>
      </c>
      <c r="C9" s="580"/>
      <c r="D9" s="580"/>
      <c r="E9" s="525">
        <v>3</v>
      </c>
      <c r="F9" s="525"/>
      <c r="G9" s="525"/>
      <c r="H9" s="526"/>
      <c r="J9" s="441" t="s">
        <v>2</v>
      </c>
      <c r="K9" s="22" t="s">
        <v>2</v>
      </c>
      <c r="L9" s="238" t="s">
        <v>189</v>
      </c>
      <c r="M9" s="401">
        <f>L4</f>
        <v>2540</v>
      </c>
      <c r="N9" s="416">
        <f>(E9+E10)*2</f>
        <v>12</v>
      </c>
      <c r="O9" s="401"/>
      <c r="P9" s="406">
        <f>IF(M9&gt;2650,N9,N9/2)</f>
        <v>6</v>
      </c>
      <c r="Q9" s="249"/>
      <c r="R9" s="249"/>
      <c r="S9" s="338">
        <f>P9*BW9</f>
        <v>32465.879999999997</v>
      </c>
      <c r="T9" s="255"/>
      <c r="U9" s="420" t="str">
        <f t="shared" ref="U9:U18" si="0">K9</f>
        <v>вертикальный профиль</v>
      </c>
      <c r="V9" s="404">
        <f t="shared" ref="V9:AG11" si="1">IF($Z$3=$CF$21,BA9,IF($Z$3=$CF$27,BA42,IF($Z$3=$CF$28,BA59,BA26)))</f>
        <v>0</v>
      </c>
      <c r="W9" s="404">
        <f t="shared" si="1"/>
        <v>0</v>
      </c>
      <c r="X9" s="404">
        <f t="shared" si="1"/>
        <v>0</v>
      </c>
      <c r="Y9" s="404">
        <f t="shared" si="1"/>
        <v>0</v>
      </c>
      <c r="Z9" s="404">
        <f t="shared" si="1"/>
        <v>0</v>
      </c>
      <c r="AA9" s="404">
        <f t="shared" si="1"/>
        <v>0</v>
      </c>
      <c r="AB9" s="404">
        <f t="shared" si="1"/>
        <v>0</v>
      </c>
      <c r="AC9" s="404">
        <f t="shared" si="1"/>
        <v>0</v>
      </c>
      <c r="AD9" s="404">
        <f t="shared" si="1"/>
        <v>0</v>
      </c>
      <c r="AE9" s="404">
        <f t="shared" si="1"/>
        <v>0</v>
      </c>
      <c r="AF9" s="404">
        <f t="shared" si="1"/>
        <v>0</v>
      </c>
      <c r="AG9" s="404">
        <f t="shared" si="1"/>
        <v>6</v>
      </c>
      <c r="AH9" s="352"/>
      <c r="AI9" s="242">
        <f>S9</f>
        <v>32465.879999999997</v>
      </c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36"/>
      <c r="AW9" s="436"/>
      <c r="AX9" s="436"/>
      <c r="AY9" s="362">
        <v>0.69</v>
      </c>
      <c r="AZ9" s="3">
        <f>AY9*M9*N9/1000</f>
        <v>21.031199999999998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141">
        <v>0</v>
      </c>
      <c r="BL9" s="315">
        <f>P9</f>
        <v>6</v>
      </c>
      <c r="BM9" s="141"/>
      <c r="BN9" s="188"/>
      <c r="BO9" s="188"/>
      <c r="BS9" s="188"/>
      <c r="BT9" s="144"/>
      <c r="BU9" s="144"/>
      <c r="BV9" s="144"/>
      <c r="BW9" s="144">
        <f t="array" ref="BW9">INDEX(Цены!J:J,MATCH(J9&amp;$E$8,Цены!C:C&amp;Цены!G:G,0))</f>
        <v>5410.98</v>
      </c>
      <c r="BX9" s="144"/>
      <c r="BY9" s="51" t="s">
        <v>97</v>
      </c>
      <c r="CF9" s="1" t="s">
        <v>455</v>
      </c>
    </row>
    <row r="10" spans="2:91" ht="25.05" customHeight="1" thickBot="1" x14ac:dyDescent="0.35">
      <c r="B10" s="581" t="s">
        <v>433</v>
      </c>
      <c r="C10" s="582"/>
      <c r="D10" s="582"/>
      <c r="E10" s="525">
        <v>3</v>
      </c>
      <c r="F10" s="525"/>
      <c r="G10" s="525"/>
      <c r="H10" s="526"/>
      <c r="J10" s="442" t="s">
        <v>448</v>
      </c>
      <c r="K10" s="402" t="s">
        <v>448</v>
      </c>
      <c r="L10" s="236" t="s">
        <v>449</v>
      </c>
      <c r="M10" s="401">
        <f>M9</f>
        <v>2540</v>
      </c>
      <c r="N10" s="416">
        <v>2</v>
      </c>
      <c r="O10" s="403"/>
      <c r="P10" s="406">
        <f>IF(M10&gt;2650,N10,N10/2)</f>
        <v>1</v>
      </c>
      <c r="Q10" s="50"/>
      <c r="R10" s="50"/>
      <c r="S10" s="369">
        <f>P10*BW10</f>
        <v>3191.28</v>
      </c>
      <c r="T10" s="255"/>
      <c r="U10" s="420" t="str">
        <f t="shared" si="0"/>
        <v>угловой профиль</v>
      </c>
      <c r="V10" s="404">
        <f t="shared" si="1"/>
        <v>0</v>
      </c>
      <c r="W10" s="404">
        <f t="shared" si="1"/>
        <v>0</v>
      </c>
      <c r="X10" s="404">
        <f t="shared" si="1"/>
        <v>0</v>
      </c>
      <c r="Y10" s="404">
        <f t="shared" si="1"/>
        <v>0</v>
      </c>
      <c r="Z10" s="404">
        <f t="shared" si="1"/>
        <v>0</v>
      </c>
      <c r="AA10" s="404">
        <f t="shared" si="1"/>
        <v>0</v>
      </c>
      <c r="AB10" s="404">
        <f t="shared" si="1"/>
        <v>0</v>
      </c>
      <c r="AC10" s="404">
        <f t="shared" si="1"/>
        <v>0</v>
      </c>
      <c r="AD10" s="404">
        <f t="shared" si="1"/>
        <v>0</v>
      </c>
      <c r="AE10" s="404">
        <f t="shared" si="1"/>
        <v>0</v>
      </c>
      <c r="AF10" s="404">
        <f t="shared" si="1"/>
        <v>0</v>
      </c>
      <c r="AG10" s="404">
        <f t="shared" si="1"/>
        <v>1</v>
      </c>
      <c r="AH10" s="186"/>
      <c r="AI10" s="242">
        <f>S10</f>
        <v>3191.28</v>
      </c>
      <c r="AJ10" s="426"/>
      <c r="AK10" s="426"/>
      <c r="AL10" s="426"/>
      <c r="AM10" s="426"/>
      <c r="AN10" s="426"/>
      <c r="AO10" s="426"/>
      <c r="AP10" s="426"/>
      <c r="AQ10" s="426"/>
      <c r="AR10" s="426"/>
      <c r="AS10" s="426"/>
      <c r="AT10" s="426"/>
      <c r="AU10" s="426"/>
      <c r="AV10" s="436"/>
      <c r="AW10" s="436"/>
      <c r="AX10" s="436"/>
      <c r="AY10" s="433">
        <v>0.36899999999999999</v>
      </c>
      <c r="AZ10" s="3">
        <f>AY10*M10*N10/1000</f>
        <v>1.87452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315">
        <f>P10</f>
        <v>1</v>
      </c>
      <c r="BP10" s="188" t="s">
        <v>441</v>
      </c>
      <c r="BQ10" s="188"/>
      <c r="BR10" s="188" t="s">
        <v>440</v>
      </c>
      <c r="BW10" s="144">
        <f t="array" ref="BW10">IFERROR(INDEX(Цены!J:J,MATCH(J10&amp;$E$8,Цены!C:C&amp;Цены!G:G,0)),Цены!J73)</f>
        <v>3191.28</v>
      </c>
      <c r="BX10" s="3"/>
      <c r="BY10" s="51" t="s">
        <v>157</v>
      </c>
      <c r="CF10" s="1" t="s">
        <v>453</v>
      </c>
    </row>
    <row r="11" spans="2:91" ht="25.05" customHeight="1" x14ac:dyDescent="0.3">
      <c r="B11" s="581" t="s">
        <v>245</v>
      </c>
      <c r="C11" s="582"/>
      <c r="D11" s="582"/>
      <c r="E11" s="514" t="s">
        <v>98</v>
      </c>
      <c r="F11" s="514"/>
      <c r="G11" s="514"/>
      <c r="H11" s="515"/>
      <c r="J11" s="441" t="s">
        <v>4</v>
      </c>
      <c r="K11" s="22" t="s">
        <v>434</v>
      </c>
      <c r="L11" s="235" t="s">
        <v>190</v>
      </c>
      <c r="M11" s="401">
        <f>E4-8</f>
        <v>2492</v>
      </c>
      <c r="N11" s="416">
        <f>E9</f>
        <v>3</v>
      </c>
      <c r="O11" s="589">
        <f>M11*N11+M12*N12</f>
        <v>14952</v>
      </c>
      <c r="P11" s="566">
        <f>AF11+Z11</f>
        <v>6</v>
      </c>
      <c r="Q11" s="249"/>
      <c r="R11" s="249"/>
      <c r="S11" s="539">
        <f>P11*BW11</f>
        <v>34896.42</v>
      </c>
      <c r="U11" s="420" t="str">
        <f t="shared" si="0"/>
        <v>направляющая верхняя А</v>
      </c>
      <c r="V11" s="516">
        <f t="shared" si="1"/>
        <v>0</v>
      </c>
      <c r="W11" s="516">
        <f t="shared" si="1"/>
        <v>0</v>
      </c>
      <c r="X11" s="516">
        <f t="shared" si="1"/>
        <v>0</v>
      </c>
      <c r="Y11" s="516">
        <f t="shared" si="1"/>
        <v>0</v>
      </c>
      <c r="Z11" s="516">
        <f t="shared" si="1"/>
        <v>0</v>
      </c>
      <c r="AA11" s="516">
        <f t="shared" si="1"/>
        <v>0</v>
      </c>
      <c r="AB11" s="516">
        <f t="shared" si="1"/>
        <v>0</v>
      </c>
      <c r="AC11" s="516">
        <f t="shared" si="1"/>
        <v>0</v>
      </c>
      <c r="AD11" s="516">
        <f t="shared" si="1"/>
        <v>0</v>
      </c>
      <c r="AE11" s="516">
        <f t="shared" si="1"/>
        <v>0</v>
      </c>
      <c r="AF11" s="516">
        <f t="shared" si="1"/>
        <v>6</v>
      </c>
      <c r="AG11" s="516">
        <f t="shared" si="1"/>
        <v>0</v>
      </c>
      <c r="AH11" s="607">
        <f>AV11</f>
        <v>30000</v>
      </c>
      <c r="AI11" s="612">
        <f>Z11*BW11*0.5+AF11*BW11</f>
        <v>34896.42</v>
      </c>
      <c r="AJ11" s="426">
        <f>V11*$V$8</f>
        <v>0</v>
      </c>
      <c r="AK11" s="426">
        <f>W11*$W$8</f>
        <v>0</v>
      </c>
      <c r="AL11" s="426">
        <f>X11*$X$8</f>
        <v>0</v>
      </c>
      <c r="AM11" s="426">
        <f>Y11*$Y$8</f>
        <v>0</v>
      </c>
      <c r="AN11" s="426">
        <f>Z11*$Z$8</f>
        <v>0</v>
      </c>
      <c r="AO11" s="426">
        <f>AA11*$AA$8</f>
        <v>0</v>
      </c>
      <c r="AP11" s="426">
        <f>AB11*$AB$8</f>
        <v>0</v>
      </c>
      <c r="AQ11" s="426">
        <f>AC11*$AC$8</f>
        <v>0</v>
      </c>
      <c r="AR11" s="426">
        <f>AD11*$AD$8</f>
        <v>0</v>
      </c>
      <c r="AS11" s="426">
        <f>AE11*$AE$8</f>
        <v>0</v>
      </c>
      <c r="AT11" s="426">
        <f>AF11*$AF$8</f>
        <v>30000</v>
      </c>
      <c r="AU11" s="426">
        <f>AG11*$AG$8</f>
        <v>0</v>
      </c>
      <c r="AV11" s="436">
        <f>SUM(AJ11:AU11)</f>
        <v>30000</v>
      </c>
      <c r="AW11" s="436"/>
      <c r="AX11" s="436"/>
      <c r="AY11" s="3"/>
      <c r="AZ11" s="3"/>
      <c r="BA11" s="143">
        <v>0</v>
      </c>
      <c r="BB11" s="143">
        <v>0</v>
      </c>
      <c r="BC11" s="143">
        <v>0</v>
      </c>
      <c r="BD11" s="143">
        <v>0</v>
      </c>
      <c r="BE11" s="141">
        <f>IF(AND((E4+E5)&gt;BD5,BP11=1),1,0)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IF(E4+E5&lt;=4950,BR11,IF(AND(BM11&gt;2500,BM11&lt;=4950),BN11+1,BN11)+IF(AND(BM12&gt;2500,BM12&lt;=4950),BN12+1,BN12)+IF(BP11=2,1,0))</f>
        <v>6</v>
      </c>
      <c r="BL11" s="143">
        <v>0</v>
      </c>
      <c r="BM11" s="185">
        <f>M11*N11-INT($BD$5/M11)*M11*BN11</f>
        <v>0</v>
      </c>
      <c r="BN11" s="141">
        <f>IF(E4&gt;BD5,0,INT(N11/INT($BD$5/M11)))</f>
        <v>3</v>
      </c>
      <c r="BO11" s="141"/>
      <c r="BP11" s="141">
        <f>IF(AND(BM11&gt;0,BM11&lt;=2500),1,0)+IF(AND(BM12&gt;0,BM12&lt;=2500),1,0)</f>
        <v>0</v>
      </c>
      <c r="BQ11" s="141"/>
      <c r="BR11" s="141">
        <f>ROUNDUP(IF($E$4+$E$5&lt;=5000,$O$11/$BD$5,0),0)</f>
        <v>4</v>
      </c>
      <c r="BS11" s="141"/>
      <c r="BT11" s="3"/>
      <c r="BU11" s="3"/>
      <c r="BV11" s="3"/>
      <c r="BW11" s="144">
        <f t="array" ref="BW11">IFERROR(INDEX(Цены!J:J,MATCH(J11&amp;$E$8,Цены!C:C&amp;Цены!G:G,0)),Цены!J33)</f>
        <v>5816.07</v>
      </c>
      <c r="BX11" s="144"/>
      <c r="BY11" s="51" t="s">
        <v>106</v>
      </c>
      <c r="CF11" s="1" t="s">
        <v>454</v>
      </c>
    </row>
    <row r="12" spans="2:91" ht="25.05" customHeight="1" x14ac:dyDescent="0.3">
      <c r="B12" s="553" t="s">
        <v>457</v>
      </c>
      <c r="C12" s="554"/>
      <c r="D12" s="554"/>
      <c r="E12" s="514" t="s">
        <v>99</v>
      </c>
      <c r="F12" s="514"/>
      <c r="G12" s="514"/>
      <c r="H12" s="515"/>
      <c r="J12" s="441" t="s">
        <v>4</v>
      </c>
      <c r="K12" s="22" t="s">
        <v>435</v>
      </c>
      <c r="L12" s="235" t="s">
        <v>190</v>
      </c>
      <c r="M12" s="401">
        <f>E5-8</f>
        <v>2492</v>
      </c>
      <c r="N12" s="416">
        <f>E10</f>
        <v>3</v>
      </c>
      <c r="O12" s="589"/>
      <c r="P12" s="566"/>
      <c r="Q12" s="50"/>
      <c r="R12" s="50"/>
      <c r="S12" s="539"/>
      <c r="T12" s="255"/>
      <c r="U12" s="420" t="str">
        <f t="shared" si="0"/>
        <v>направляющая верхняя Б</v>
      </c>
      <c r="V12" s="516"/>
      <c r="W12" s="516"/>
      <c r="X12" s="516"/>
      <c r="Y12" s="516"/>
      <c r="Z12" s="516"/>
      <c r="AA12" s="516"/>
      <c r="AB12" s="516"/>
      <c r="AC12" s="516"/>
      <c r="AD12" s="516"/>
      <c r="AE12" s="516"/>
      <c r="AF12" s="516"/>
      <c r="AG12" s="516"/>
      <c r="AH12" s="607"/>
      <c r="AI12" s="612"/>
      <c r="AJ12" s="426"/>
      <c r="AK12" s="426"/>
      <c r="AL12" s="426"/>
      <c r="AM12" s="426"/>
      <c r="AN12" s="426"/>
      <c r="AO12" s="426"/>
      <c r="AP12" s="426"/>
      <c r="AQ12" s="426"/>
      <c r="AR12" s="426"/>
      <c r="AS12" s="426"/>
      <c r="AT12" s="426"/>
      <c r="AU12" s="426"/>
      <c r="AV12" s="436"/>
      <c r="AW12" s="436"/>
      <c r="AX12" s="436"/>
      <c r="BM12" s="185">
        <f>M12*N12-INT($BD$5/M12)*M12*BN12</f>
        <v>0</v>
      </c>
      <c r="BN12" s="141">
        <f>IF(E5&gt;BD5,0,INT(N12/INT($BD$5/M12)))</f>
        <v>3</v>
      </c>
      <c r="BP12" s="141"/>
      <c r="BR12" s="141"/>
      <c r="BW12" s="144"/>
      <c r="BX12" s="144"/>
      <c r="BY12" s="51" t="s">
        <v>130</v>
      </c>
    </row>
    <row r="13" spans="2:91" ht="25.05" customHeight="1" x14ac:dyDescent="0.3">
      <c r="B13" s="555" t="s">
        <v>158</v>
      </c>
      <c r="C13" s="556"/>
      <c r="D13" s="556"/>
      <c r="E13" s="514" t="s">
        <v>80</v>
      </c>
      <c r="F13" s="514"/>
      <c r="G13" s="514"/>
      <c r="H13" s="515"/>
      <c r="J13" s="443" t="s">
        <v>5</v>
      </c>
      <c r="K13" s="415" t="s">
        <v>436</v>
      </c>
      <c r="L13" s="238" t="s">
        <v>191</v>
      </c>
      <c r="M13" s="337">
        <f>E4</f>
        <v>2500</v>
      </c>
      <c r="N13" s="416">
        <v>2</v>
      </c>
      <c r="O13" s="589">
        <f>M13*N13+M14*N14</f>
        <v>10000</v>
      </c>
      <c r="P13" s="566">
        <f>AF13+Z13</f>
        <v>2</v>
      </c>
      <c r="Q13" s="249"/>
      <c r="R13" s="249"/>
      <c r="S13" s="539">
        <f>P13*BW13</f>
        <v>3785.9</v>
      </c>
      <c r="T13" s="255"/>
      <c r="U13" s="420" t="str">
        <f t="shared" si="0"/>
        <v>накладка декоративная А</v>
      </c>
      <c r="V13" s="516">
        <f t="shared" ref="V13:AG13" si="2">IF($Z$3=$CF$21,BA13,IF($Z$3=$CF$27,BA46,IF($Z$3=$CF$28,BA63,BA30)))</f>
        <v>0</v>
      </c>
      <c r="W13" s="516">
        <f t="shared" si="2"/>
        <v>0</v>
      </c>
      <c r="X13" s="516">
        <f t="shared" si="2"/>
        <v>0</v>
      </c>
      <c r="Y13" s="516">
        <f t="shared" si="2"/>
        <v>0</v>
      </c>
      <c r="Z13" s="516">
        <f t="shared" si="2"/>
        <v>0</v>
      </c>
      <c r="AA13" s="516">
        <f t="shared" si="2"/>
        <v>0</v>
      </c>
      <c r="AB13" s="516">
        <f t="shared" si="2"/>
        <v>0</v>
      </c>
      <c r="AC13" s="516">
        <f t="shared" si="2"/>
        <v>0</v>
      </c>
      <c r="AD13" s="516">
        <f t="shared" si="2"/>
        <v>0</v>
      </c>
      <c r="AE13" s="516">
        <f t="shared" si="2"/>
        <v>0</v>
      </c>
      <c r="AF13" s="516">
        <f t="shared" si="2"/>
        <v>2</v>
      </c>
      <c r="AG13" s="516">
        <f t="shared" si="2"/>
        <v>0</v>
      </c>
      <c r="AH13" s="607">
        <f>AV13</f>
        <v>10000</v>
      </c>
      <c r="AI13" s="612">
        <f>(Z13*0.5+AF13)*BW13</f>
        <v>3785.9</v>
      </c>
      <c r="AJ13" s="426">
        <f t="shared" ref="AJ13:AJ17" si="3">V13*$V$8</f>
        <v>0</v>
      </c>
      <c r="AK13" s="426">
        <f t="shared" ref="AK13:AK17" si="4">W13*$W$8</f>
        <v>0</v>
      </c>
      <c r="AL13" s="426">
        <f t="shared" ref="AL13:AL17" si="5">X13*$X$8</f>
        <v>0</v>
      </c>
      <c r="AM13" s="426">
        <f t="shared" ref="AM13:AM17" si="6">Y13*$Y$8</f>
        <v>0</v>
      </c>
      <c r="AN13" s="426">
        <f t="shared" ref="AN13:AN17" si="7">Z13*$Z$8</f>
        <v>0</v>
      </c>
      <c r="AO13" s="426">
        <f t="shared" ref="AO13:AO17" si="8">AA13*$AA$8</f>
        <v>0</v>
      </c>
      <c r="AP13" s="426">
        <f t="shared" ref="AP13:AP17" si="9">AB13*$AB$8</f>
        <v>0</v>
      </c>
      <c r="AQ13" s="426">
        <f t="shared" ref="AQ13:AQ17" si="10">AC13*$AC$8</f>
        <v>0</v>
      </c>
      <c r="AR13" s="426">
        <f t="shared" ref="AR13:AR17" si="11">AD13*$AD$8</f>
        <v>0</v>
      </c>
      <c r="AS13" s="426">
        <f t="shared" ref="AS13:AS17" si="12">AE13*$AE$8</f>
        <v>0</v>
      </c>
      <c r="AT13" s="426">
        <f t="shared" ref="AT13:AT17" si="13">AF13*$AF$8</f>
        <v>10000</v>
      </c>
      <c r="AU13" s="426">
        <f t="shared" ref="AU13:AU17" si="14">AG13*$AG$8</f>
        <v>0</v>
      </c>
      <c r="AV13" s="436">
        <f>SUM(AJ13:AU13)</f>
        <v>10000</v>
      </c>
      <c r="AW13" s="436"/>
      <c r="AX13" s="436"/>
      <c r="AY13" s="3"/>
      <c r="AZ13" s="3"/>
      <c r="BA13" s="143">
        <v>0</v>
      </c>
      <c r="BB13" s="143">
        <v>0</v>
      </c>
      <c r="BC13" s="143">
        <v>0</v>
      </c>
      <c r="BD13" s="143">
        <v>0</v>
      </c>
      <c r="BE13" s="141">
        <f t="shared" ref="BE13" si="15">IF(BP13=1,1,0)</f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1">
        <f>IF(E4+E5&lt;=5025,BR13,IF(AND(BM13&gt;2500,BM13&lt;=5025),BN13+1,BN13)+IF(AND(BM14&gt;2500,BM14&lt;=5025),BN14+1,BN14)+IF(BP13=2,1,0))</f>
        <v>2</v>
      </c>
      <c r="BL13" s="143">
        <v>0</v>
      </c>
      <c r="BM13" s="185">
        <f>M13*N13-INT($BD$6/M13)*M13*BN13</f>
        <v>0</v>
      </c>
      <c r="BN13" s="141">
        <f>IF($E$4&gt;BD6,0,INT(N13/INT($BD$6/M13)))</f>
        <v>1</v>
      </c>
      <c r="BO13" s="141"/>
      <c r="BP13" s="141">
        <f t="shared" ref="BP13" si="16">IF(AND(BM13&gt;0,BM13&lt;=2500),1,0)+IF(AND(BM14&gt;0,BM14&lt;=2500),1,0)</f>
        <v>0</v>
      </c>
      <c r="BQ13" s="188"/>
      <c r="BR13" s="141">
        <f>ROUNDUP(IF($E$4+$E$5&lt;=5075,O13/BD6,0),0)</f>
        <v>2</v>
      </c>
      <c r="BS13" s="188"/>
      <c r="BT13" s="144"/>
      <c r="BU13" s="144"/>
      <c r="BV13" s="144"/>
      <c r="BW13" s="144">
        <f t="array" ref="BW13">INDEX(Цены!J:J,MATCH(J13&amp;$E$8,Цены!C:C&amp;Цены!G:G,0))</f>
        <v>1892.95</v>
      </c>
      <c r="BX13" s="144"/>
      <c r="BY13" s="51" t="s">
        <v>182</v>
      </c>
    </row>
    <row r="14" spans="2:91" ht="25.05" customHeight="1" x14ac:dyDescent="0.3">
      <c r="B14" s="553" t="s">
        <v>125</v>
      </c>
      <c r="C14" s="554"/>
      <c r="D14" s="554"/>
      <c r="E14" s="514" t="s">
        <v>99</v>
      </c>
      <c r="F14" s="514"/>
      <c r="G14" s="514"/>
      <c r="H14" s="515"/>
      <c r="J14" s="443" t="s">
        <v>5</v>
      </c>
      <c r="K14" s="415" t="s">
        <v>437</v>
      </c>
      <c r="L14" s="238" t="s">
        <v>191</v>
      </c>
      <c r="M14" s="128">
        <f>E5</f>
        <v>2500</v>
      </c>
      <c r="N14" s="129">
        <v>2</v>
      </c>
      <c r="O14" s="589"/>
      <c r="P14" s="566"/>
      <c r="Q14" s="249"/>
      <c r="R14" s="249"/>
      <c r="S14" s="539"/>
      <c r="T14" s="255"/>
      <c r="U14" s="420" t="str">
        <f t="shared" si="0"/>
        <v>накладка декоративная Б</v>
      </c>
      <c r="V14" s="516"/>
      <c r="W14" s="516"/>
      <c r="X14" s="516"/>
      <c r="Y14" s="516"/>
      <c r="Z14" s="516"/>
      <c r="AA14" s="516"/>
      <c r="AB14" s="516"/>
      <c r="AC14" s="516"/>
      <c r="AD14" s="516"/>
      <c r="AE14" s="516"/>
      <c r="AF14" s="516"/>
      <c r="AG14" s="516"/>
      <c r="AH14" s="607"/>
      <c r="AI14" s="612"/>
      <c r="AJ14" s="426"/>
      <c r="AK14" s="426"/>
      <c r="AL14" s="426"/>
      <c r="AM14" s="426"/>
      <c r="AN14" s="426"/>
      <c r="AO14" s="426"/>
      <c r="AP14" s="426"/>
      <c r="AQ14" s="426"/>
      <c r="AR14" s="426"/>
      <c r="AS14" s="426"/>
      <c r="AT14" s="426"/>
      <c r="AU14" s="426"/>
      <c r="AV14" s="436"/>
      <c r="AW14" s="436"/>
      <c r="AX14" s="436"/>
      <c r="AY14" s="3"/>
      <c r="AZ14" s="3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85">
        <f>M14*N14-INT($BD$6/M14)*M14*BN14</f>
        <v>0</v>
      </c>
      <c r="BN14" s="141">
        <f>IF($E$4&gt;BD6,0,INT(N14/INT($BD$6/M14)))</f>
        <v>1</v>
      </c>
      <c r="BO14" s="141"/>
      <c r="BP14" s="141"/>
      <c r="BQ14" s="188"/>
      <c r="BR14" s="188"/>
      <c r="BS14" s="188"/>
      <c r="BT14" s="144"/>
      <c r="BU14" s="144"/>
      <c r="BV14" s="144"/>
      <c r="BW14" s="144"/>
      <c r="BX14" s="152"/>
      <c r="BY14" s="1" t="s">
        <v>188</v>
      </c>
      <c r="CH14" s="1" t="s">
        <v>173</v>
      </c>
    </row>
    <row r="15" spans="2:91" ht="25.05" customHeight="1" x14ac:dyDescent="0.3">
      <c r="B15" s="553" t="s">
        <v>164</v>
      </c>
      <c r="C15" s="554"/>
      <c r="D15" s="554"/>
      <c r="E15" s="525" t="s">
        <v>98</v>
      </c>
      <c r="F15" s="525"/>
      <c r="G15" s="525"/>
      <c r="H15" s="526"/>
      <c r="J15" s="441" t="s">
        <v>3</v>
      </c>
      <c r="K15" s="22" t="s">
        <v>438</v>
      </c>
      <c r="L15" s="238" t="s">
        <v>252</v>
      </c>
      <c r="M15" s="401">
        <f>L5-78</f>
        <v>767</v>
      </c>
      <c r="N15" s="416">
        <f>E9*2</f>
        <v>6</v>
      </c>
      <c r="O15" s="589">
        <f>M15*N15+M16*N16</f>
        <v>9204</v>
      </c>
      <c r="P15" s="566">
        <f>BN15+BN16+IF(BM15+BM16&gt;BD5,2,IF(BM15+BM16=0,0,1))</f>
        <v>2</v>
      </c>
      <c r="Q15" s="249"/>
      <c r="R15" s="249"/>
      <c r="S15" s="539">
        <f>P15*BW15</f>
        <v>6534.3</v>
      </c>
      <c r="U15" s="420" t="str">
        <f t="shared" si="0"/>
        <v>рамка верхняя А</v>
      </c>
      <c r="V15" s="516">
        <f t="shared" ref="V15:AG15" si="17">IF($Z$3=$CF$21,BA15,IF($Z$3=$CF$27,BA48,IF($Z$3=$CF$28,BA65,BA32)))</f>
        <v>0</v>
      </c>
      <c r="W15" s="516">
        <f t="shared" si="17"/>
        <v>0</v>
      </c>
      <c r="X15" s="516">
        <f t="shared" si="17"/>
        <v>0</v>
      </c>
      <c r="Y15" s="516">
        <f t="shared" si="17"/>
        <v>0</v>
      </c>
      <c r="Z15" s="516">
        <f t="shared" si="17"/>
        <v>0</v>
      </c>
      <c r="AA15" s="516">
        <f t="shared" si="17"/>
        <v>0</v>
      </c>
      <c r="AB15" s="516">
        <f t="shared" si="17"/>
        <v>0</v>
      </c>
      <c r="AC15" s="516">
        <f t="shared" si="17"/>
        <v>0</v>
      </c>
      <c r="AD15" s="516">
        <f t="shared" si="17"/>
        <v>0</v>
      </c>
      <c r="AE15" s="516">
        <f t="shared" si="17"/>
        <v>0</v>
      </c>
      <c r="AF15" s="516">
        <f t="shared" si="17"/>
        <v>2</v>
      </c>
      <c r="AG15" s="516">
        <f t="shared" si="17"/>
        <v>0</v>
      </c>
      <c r="AH15" s="607">
        <f>AV15</f>
        <v>10000</v>
      </c>
      <c r="AI15" s="612">
        <f>(V15*0.2+W15*0.25+Y15*0.4+Z15*0.5+AB15*0.6+AD15*0.75+AE15*0.8+AF15)*BW15</f>
        <v>6534.3</v>
      </c>
      <c r="AJ15" s="426">
        <f t="shared" si="3"/>
        <v>0</v>
      </c>
      <c r="AK15" s="426">
        <f t="shared" si="4"/>
        <v>0</v>
      </c>
      <c r="AL15" s="426">
        <f t="shared" si="5"/>
        <v>0</v>
      </c>
      <c r="AM15" s="426">
        <f t="shared" si="6"/>
        <v>0</v>
      </c>
      <c r="AN15" s="426">
        <f t="shared" si="7"/>
        <v>0</v>
      </c>
      <c r="AO15" s="426">
        <f t="shared" si="8"/>
        <v>0</v>
      </c>
      <c r="AP15" s="426">
        <f t="shared" si="9"/>
        <v>0</v>
      </c>
      <c r="AQ15" s="426">
        <f t="shared" si="10"/>
        <v>0</v>
      </c>
      <c r="AR15" s="426">
        <f t="shared" si="11"/>
        <v>0</v>
      </c>
      <c r="AS15" s="426">
        <f t="shared" si="12"/>
        <v>0</v>
      </c>
      <c r="AT15" s="426">
        <f t="shared" si="13"/>
        <v>10000</v>
      </c>
      <c r="AU15" s="426">
        <f t="shared" si="14"/>
        <v>0</v>
      </c>
      <c r="AV15" s="436">
        <f>SUM(AJ15:AU15)</f>
        <v>10000</v>
      </c>
      <c r="AW15" s="436"/>
      <c r="AX15" s="436"/>
      <c r="AY15" s="363">
        <v>0.47399999999999998</v>
      </c>
      <c r="AZ15" s="3">
        <f>AY15*M15*N15/1000</f>
        <v>2.1813479999999998</v>
      </c>
      <c r="BA15" s="141">
        <f>IF(AND((BM15+BM16)&gt;0,(BM15+BM16)&lt;=1000),1,0)</f>
        <v>0</v>
      </c>
      <c r="BB15" s="143">
        <v>0</v>
      </c>
      <c r="BC15" s="143">
        <v>0</v>
      </c>
      <c r="BD15" s="141">
        <f>IF(AND((BM15+BM16)&gt;1000,(BM15+BM16)&lt;=2000),1,0)</f>
        <v>0</v>
      </c>
      <c r="BE15" s="143">
        <v>0</v>
      </c>
      <c r="BF15" s="143">
        <v>0</v>
      </c>
      <c r="BG15" s="141">
        <f>IF(AND((BM15+BM16)&gt;2000,(BM15+BM16)&lt;=3000),1,0)+IF(AND(BM15&gt;2000,BM15&lt;=3000),1,0)+IF(AND(BM16&gt;2000,BM16&lt;=3000),1,0)</f>
        <v>0</v>
      </c>
      <c r="BH15" s="143">
        <v>0</v>
      </c>
      <c r="BI15" s="143">
        <v>0</v>
      </c>
      <c r="BJ15" s="141">
        <f>IF(AND(BM15&gt;3000,BM15&lt;=4000),1,0)+IF(AND(BM16&gt;3000,BM16&lt;=4000),1,0)+IF(AND((BM15+BM16)&gt;3000,(BM15+BM16)&lt;=4000),1,0)</f>
        <v>0</v>
      </c>
      <c r="BK15" s="141">
        <f>IF(BP15=1,0,IF(AND(BM15&gt;4000,BM15&lt;=4950),1,0)+IF(AND(BM16&gt;4000,BM16&lt;=4950),1,0))+BP15+BN15+BN16</f>
        <v>2</v>
      </c>
      <c r="BL15" s="143">
        <v>0</v>
      </c>
      <c r="BM15" s="185">
        <f>M15*N15-INT($BD$5/M15)*M15*BN15</f>
        <v>0</v>
      </c>
      <c r="BN15" s="141">
        <f>INT(N15/INT($BD$5/M15))</f>
        <v>1</v>
      </c>
      <c r="BO15" s="141"/>
      <c r="BP15" s="141">
        <f>IF(AND((BM15+BM16)&gt;4000,(BM15+BM16)&lt;=5000),1,0)</f>
        <v>0</v>
      </c>
      <c r="BQ15" s="188"/>
      <c r="BR15" s="188"/>
      <c r="BS15" s="188"/>
      <c r="BT15" s="144"/>
      <c r="BU15" s="144"/>
      <c r="BV15" s="144"/>
      <c r="BW15" s="144">
        <f t="array" ref="BW15">INDEX(Цены!J:J,MATCH(J15&amp;$E$8,Цены!C:C&amp;Цены!G:G,0))</f>
        <v>3267.15</v>
      </c>
      <c r="BX15" s="144"/>
      <c r="CH15" s="1" t="s">
        <v>174</v>
      </c>
    </row>
    <row r="16" spans="2:91" ht="25.05" customHeight="1" x14ac:dyDescent="0.3">
      <c r="B16" s="555" t="s">
        <v>169</v>
      </c>
      <c r="C16" s="556"/>
      <c r="D16" s="556"/>
      <c r="E16" s="525">
        <v>0</v>
      </c>
      <c r="F16" s="525"/>
      <c r="G16" s="525"/>
      <c r="H16" s="526"/>
      <c r="J16" s="441" t="s">
        <v>3</v>
      </c>
      <c r="K16" s="22" t="s">
        <v>439</v>
      </c>
      <c r="L16" s="238" t="s">
        <v>252</v>
      </c>
      <c r="M16" s="401">
        <f>N5-78</f>
        <v>767</v>
      </c>
      <c r="N16" s="416">
        <f>E10*2</f>
        <v>6</v>
      </c>
      <c r="O16" s="589"/>
      <c r="P16" s="566"/>
      <c r="Q16" s="50"/>
      <c r="R16" s="50"/>
      <c r="S16" s="539"/>
      <c r="T16" s="255"/>
      <c r="U16" s="420" t="str">
        <f t="shared" si="0"/>
        <v>рамка верхняя Б</v>
      </c>
      <c r="V16" s="516"/>
      <c r="W16" s="516"/>
      <c r="X16" s="516"/>
      <c r="Y16" s="516"/>
      <c r="Z16" s="516"/>
      <c r="AA16" s="516"/>
      <c r="AB16" s="516"/>
      <c r="AC16" s="516"/>
      <c r="AD16" s="516"/>
      <c r="AE16" s="516"/>
      <c r="AF16" s="516"/>
      <c r="AG16" s="516"/>
      <c r="AH16" s="607"/>
      <c r="AI16" s="612"/>
      <c r="AJ16" s="426"/>
      <c r="AK16" s="426"/>
      <c r="AL16" s="426"/>
      <c r="AM16" s="426"/>
      <c r="AN16" s="426"/>
      <c r="AO16" s="426"/>
      <c r="AP16" s="426"/>
      <c r="AQ16" s="426"/>
      <c r="AR16" s="426"/>
      <c r="AS16" s="426"/>
      <c r="AT16" s="426"/>
      <c r="AU16" s="426"/>
      <c r="AV16" s="436"/>
      <c r="AW16" s="436"/>
      <c r="AX16" s="436"/>
      <c r="AY16" s="363">
        <v>0.47399999999999998</v>
      </c>
      <c r="AZ16" s="3">
        <f>AY16*M16*N16/1000</f>
        <v>2.1813479999999998</v>
      </c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M16" s="185">
        <f>M16*N16-INT($BD$5/M16)*M16*BN16</f>
        <v>0</v>
      </c>
      <c r="BN16" s="141">
        <f>INT(N16/INT($BD$5/M16))</f>
        <v>1</v>
      </c>
      <c r="BP16" s="141"/>
      <c r="BQ16" s="188"/>
      <c r="BT16" s="188"/>
      <c r="BU16" s="189"/>
      <c r="BV16" s="152"/>
      <c r="BW16" s="144"/>
      <c r="BX16" s="4"/>
    </row>
    <row r="17" spans="2:84" ht="25.05" customHeight="1" x14ac:dyDescent="0.3">
      <c r="B17" s="608" t="s">
        <v>468</v>
      </c>
      <c r="C17" s="609"/>
      <c r="D17" s="609"/>
      <c r="E17" s="610">
        <v>0</v>
      </c>
      <c r="F17" s="610"/>
      <c r="G17" s="610"/>
      <c r="H17" s="611"/>
      <c r="J17" s="444" t="str">
        <f>E7</f>
        <v>рамка средняя 4в1</v>
      </c>
      <c r="K17" s="336" t="str">
        <f>E7&amp;" А"</f>
        <v>рамка средняя 4в1 А</v>
      </c>
      <c r="L17" s="238" t="str">
        <f>IF(E7=CG6,CH6,CH7)</f>
        <v>FA0716.VP500</v>
      </c>
      <c r="M17" s="401">
        <f>IF(AND(E7=CG7,E6&gt;0),L5-78,IF(AND(E7=CG6,E6&gt;0),L5-76,0))</f>
        <v>0</v>
      </c>
      <c r="N17" s="416">
        <f>E9*E6</f>
        <v>0</v>
      </c>
      <c r="O17" s="589">
        <f>M17*N17+M18*N18</f>
        <v>0</v>
      </c>
      <c r="P17" s="566">
        <f>IF(E7=CG7,BN17+BN18+IF(BM17+BM18&gt;BD5,2,IF(BM17+BM18=0,0,1)),BQ17+BQ18+IF(BP17+BP18&gt;BD7,2,IF(BP17+BP18=0,0,1)))</f>
        <v>0</v>
      </c>
      <c r="Q17" s="249"/>
      <c r="R17" s="249"/>
      <c r="S17" s="539">
        <f>P17*BW17</f>
        <v>0</v>
      </c>
      <c r="U17" s="420" t="str">
        <f t="shared" si="0"/>
        <v>рамка средняя 4в1 А</v>
      </c>
      <c r="V17" s="516">
        <f t="shared" ref="V17:AG17" si="18">IF($Z$3=$CF$21,BA17,IF($Z$3=$CF$27,BA50,IF($Z$3=$CF$28,BA67,BA34)))</f>
        <v>0</v>
      </c>
      <c r="W17" s="516">
        <f t="shared" si="18"/>
        <v>0</v>
      </c>
      <c r="X17" s="516">
        <f t="shared" si="18"/>
        <v>0</v>
      </c>
      <c r="Y17" s="516">
        <f t="shared" si="18"/>
        <v>0</v>
      </c>
      <c r="Z17" s="516">
        <f t="shared" si="18"/>
        <v>0</v>
      </c>
      <c r="AA17" s="516">
        <f t="shared" si="18"/>
        <v>0</v>
      </c>
      <c r="AB17" s="516">
        <f t="shared" si="18"/>
        <v>0</v>
      </c>
      <c r="AC17" s="516">
        <f t="shared" si="18"/>
        <v>0</v>
      </c>
      <c r="AD17" s="516">
        <f t="shared" si="18"/>
        <v>0</v>
      </c>
      <c r="AE17" s="516">
        <f t="shared" si="18"/>
        <v>0</v>
      </c>
      <c r="AF17" s="516">
        <f t="shared" si="18"/>
        <v>0</v>
      </c>
      <c r="AG17" s="516">
        <f t="shared" si="18"/>
        <v>0</v>
      </c>
      <c r="AH17" s="607">
        <f>AV17</f>
        <v>0</v>
      </c>
      <c r="AI17" s="612">
        <f>IF(E7=CG6,AX18,AW18)</f>
        <v>0</v>
      </c>
      <c r="AJ17" s="426">
        <f t="shared" si="3"/>
        <v>0</v>
      </c>
      <c r="AK17" s="426">
        <f t="shared" si="4"/>
        <v>0</v>
      </c>
      <c r="AL17" s="426">
        <f t="shared" si="5"/>
        <v>0</v>
      </c>
      <c r="AM17" s="426">
        <f t="shared" si="6"/>
        <v>0</v>
      </c>
      <c r="AN17" s="426">
        <f t="shared" si="7"/>
        <v>0</v>
      </c>
      <c r="AO17" s="426">
        <f t="shared" si="8"/>
        <v>0</v>
      </c>
      <c r="AP17" s="426">
        <f t="shared" si="9"/>
        <v>0</v>
      </c>
      <c r="AQ17" s="426">
        <f t="shared" si="10"/>
        <v>0</v>
      </c>
      <c r="AR17" s="426">
        <f t="shared" si="11"/>
        <v>0</v>
      </c>
      <c r="AS17" s="426">
        <f t="shared" si="12"/>
        <v>0</v>
      </c>
      <c r="AT17" s="426">
        <f t="shared" si="13"/>
        <v>0</v>
      </c>
      <c r="AU17" s="426">
        <f t="shared" si="14"/>
        <v>0</v>
      </c>
      <c r="AV17" s="436">
        <f>SUM(AJ17:AU17)</f>
        <v>0</v>
      </c>
      <c r="AW17" s="188" t="s">
        <v>259</v>
      </c>
      <c r="AX17" s="189" t="s">
        <v>260</v>
      </c>
      <c r="AY17" s="363">
        <v>0.58499999999999996</v>
      </c>
      <c r="AZ17" s="3">
        <f>AY17*M17*N17/1000</f>
        <v>0</v>
      </c>
      <c r="BA17" s="190">
        <f>IF(E7=CG7,IF(AND((BM17+BM18)&gt;0,(BM17+BM18)&lt;=1000),1,0),0)</f>
        <v>0</v>
      </c>
      <c r="BB17" s="143">
        <v>0</v>
      </c>
      <c r="BC17" s="191">
        <f>IF(E7=CG6,IF(AND((BP17+BP18)&gt;0,(BP17+BP18)&lt;=1800),1,0),0)</f>
        <v>0</v>
      </c>
      <c r="BD17" s="190">
        <f>IF(E7=CG7,IF(AND((BM17+BM18)&gt;1000,(BM17+BM18)&lt;=2000),1,0),0)</f>
        <v>0</v>
      </c>
      <c r="BE17" s="143">
        <v>0</v>
      </c>
      <c r="BF17" s="191">
        <f>IF(E7=CG6,IF(AND((BP17+BP18)&gt;1800,(BP17+BP18)&lt;=2700),1,0),0)</f>
        <v>0</v>
      </c>
      <c r="BG17" s="190">
        <f>IF(E7=CG7,IF(AND(BM19&gt;2000,BM19&lt;=3000),1,0),0)</f>
        <v>0</v>
      </c>
      <c r="BH17" s="191">
        <f>IF(E7=CG6,IF(AND(BP19&gt;2700,BP19&lt;=3600),1,0),0)</f>
        <v>0</v>
      </c>
      <c r="BI17" s="143">
        <v>0</v>
      </c>
      <c r="BJ17" s="190">
        <f>IF(E7=CG7,IF(AND(BM19&gt;3000,BM19&lt;=4000),1,0),0)</f>
        <v>0</v>
      </c>
      <c r="BK17" s="190">
        <f>IF(E7=CG7,IF(AND(BM19&gt;4000,BM19&lt;=4950),BN17+BN18+1,BN17+BN18),0)</f>
        <v>0</v>
      </c>
      <c r="BL17" s="191">
        <f>IF(E7=CG6,IF(AND(BP19&gt;3600,BP19&lt;=5350),BQ17+BQ18+1,BQ17+BQ18),0)</f>
        <v>0</v>
      </c>
      <c r="BM17" s="185">
        <f>IF($E$6&lt;&gt;0,M17*N17-INT($BD$5/M17)*M17*BN17,0)</f>
        <v>0</v>
      </c>
      <c r="BN17" s="141">
        <f>IF(AND($E$7=$CG$7,$E$6&lt;&gt;0),INT(N17/INT($BD$5/M17)),0)</f>
        <v>0</v>
      </c>
      <c r="BO17" s="141"/>
      <c r="BP17" s="141">
        <f>IF($E$6&lt;&gt;0,M17*N17-INT($BD$7/M17)*M17*BQ17,0)</f>
        <v>0</v>
      </c>
      <c r="BQ17" s="188">
        <f>IF(AND($E$7=$CG$6,$E$6&lt;&gt;0),INT(N17/INT($BD$7/M17)),0)</f>
        <v>0</v>
      </c>
      <c r="BR17" s="188"/>
      <c r="BS17" s="188"/>
      <c r="BT17" s="144"/>
      <c r="BU17" s="144"/>
      <c r="BV17" s="144"/>
      <c r="BW17" s="144">
        <f t="array" ref="BW17">INDEX(Цены!J:J,MATCH(J17&amp;$E$8,Цены!C:C&amp;Цены!G:G,0))</f>
        <v>3828.23</v>
      </c>
      <c r="BY17" s="1" t="s">
        <v>177</v>
      </c>
    </row>
    <row r="18" spans="2:84" ht="25.05" customHeight="1" thickBot="1" x14ac:dyDescent="0.35">
      <c r="B18" s="598" t="s">
        <v>163</v>
      </c>
      <c r="C18" s="599"/>
      <c r="D18" s="599"/>
      <c r="E18" s="600" t="s">
        <v>99</v>
      </c>
      <c r="F18" s="600"/>
      <c r="G18" s="600"/>
      <c r="H18" s="601"/>
      <c r="J18" s="444" t="str">
        <f>E7</f>
        <v>рамка средняя 4в1</v>
      </c>
      <c r="K18" s="336" t="str">
        <f>E7&amp;" Б"</f>
        <v>рамка средняя 4в1 Б</v>
      </c>
      <c r="L18" s="403" t="str">
        <f>IF(E7=CG6,CH6,CH7)</f>
        <v>FA0716.VP500</v>
      </c>
      <c r="M18" s="401">
        <f>IF(AND(E7=CG7,E6&gt;0),N5-78,IF(AND(E7=CG6,E6&gt;0),N5-76,0))</f>
        <v>0</v>
      </c>
      <c r="N18" s="416">
        <f>E10*E6</f>
        <v>0</v>
      </c>
      <c r="O18" s="589"/>
      <c r="P18" s="566"/>
      <c r="Q18" s="50"/>
      <c r="R18" s="50"/>
      <c r="S18" s="539"/>
      <c r="T18" s="255"/>
      <c r="U18" s="420" t="str">
        <f t="shared" si="0"/>
        <v>рамка средняя 4в1 Б</v>
      </c>
      <c r="V18" s="516"/>
      <c r="W18" s="516"/>
      <c r="X18" s="516"/>
      <c r="Y18" s="516"/>
      <c r="Z18" s="516"/>
      <c r="AA18" s="516"/>
      <c r="AB18" s="516"/>
      <c r="AC18" s="516"/>
      <c r="AD18" s="516"/>
      <c r="AE18" s="516"/>
      <c r="AF18" s="516"/>
      <c r="AG18" s="516"/>
      <c r="AH18" s="607"/>
      <c r="AI18" s="620"/>
      <c r="AJ18" s="436"/>
      <c r="AK18" s="436"/>
      <c r="AL18" s="436"/>
      <c r="AM18" s="436"/>
      <c r="AN18" s="436"/>
      <c r="AO18" s="436"/>
      <c r="AP18" s="436"/>
      <c r="AQ18" s="436"/>
      <c r="AR18" s="436"/>
      <c r="AS18" s="436"/>
      <c r="AT18" s="436"/>
      <c r="AU18" s="436"/>
      <c r="AV18" s="436"/>
      <c r="AW18" s="256">
        <f>(V17*0.2+W17*0.25+Y17*0.4+Z17*0.5+AB17*0.6+AD17*0.75+AE17*0.8+AF17)*BW17</f>
        <v>0</v>
      </c>
      <c r="AX18" s="256">
        <f>(X17*0.34+AA17*0.5+AC17*0.67+AG17)*BW17</f>
        <v>0</v>
      </c>
      <c r="AY18" s="363">
        <v>0.58499999999999996</v>
      </c>
      <c r="AZ18" s="3">
        <f>AY18*M18*N18/1000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185">
        <f>IF($E$6&lt;&gt;0,M18*N18-INT($BD$5/M18)*M18*BN18,0)</f>
        <v>0</v>
      </c>
      <c r="BN18" s="141">
        <f>IF(AND($E$7=$CG$7,$E$6&lt;&gt;0),INT(N18/INT($BD$5/M18)),0)</f>
        <v>0</v>
      </c>
      <c r="BO18" s="4"/>
      <c r="BP18" s="141">
        <f>IF($E$6&lt;&gt;0,M18*N18-INT($BD$7/M18)*M18*BQ18,0)</f>
        <v>0</v>
      </c>
      <c r="BQ18" s="188">
        <f>IF(AND($E$7=$CG$6,$E$6&lt;&gt;0),INT(N18/INT($BD$7/M18)),0)</f>
        <v>0</v>
      </c>
      <c r="BR18" s="4"/>
      <c r="BS18" s="4"/>
      <c r="BT18" s="4"/>
      <c r="BU18" s="4"/>
      <c r="BV18" s="4"/>
      <c r="BW18" s="144"/>
      <c r="BY18" s="1" t="s">
        <v>174</v>
      </c>
    </row>
    <row r="19" spans="2:84" ht="25.05" customHeight="1" thickBot="1" x14ac:dyDescent="0.4">
      <c r="B19" s="1" t="s">
        <v>456</v>
      </c>
      <c r="K19" s="12"/>
      <c r="L19" s="6"/>
      <c r="M19" s="327"/>
      <c r="N19" s="327"/>
      <c r="O19" s="6"/>
      <c r="P19" s="13"/>
      <c r="S19" s="136">
        <f>SUM(S9:S18)</f>
        <v>80873.779999999984</v>
      </c>
      <c r="U19" s="321"/>
      <c r="V19" s="602" t="s">
        <v>103</v>
      </c>
      <c r="W19" s="602"/>
      <c r="X19" s="602"/>
      <c r="Y19" s="602"/>
      <c r="Z19" s="602"/>
      <c r="AA19" s="602"/>
      <c r="AB19" s="602"/>
      <c r="AC19" s="602"/>
      <c r="AD19" s="602"/>
      <c r="AE19" s="602"/>
      <c r="AF19" s="602"/>
      <c r="AG19" s="602"/>
      <c r="AH19" s="603"/>
      <c r="AI19" s="136">
        <f>SUM(AI9:AI18)</f>
        <v>80873.779999999984</v>
      </c>
      <c r="AJ19" s="437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  <c r="AU19" s="437"/>
      <c r="AV19" s="437"/>
      <c r="AW19" s="437"/>
      <c r="AX19" s="437"/>
      <c r="AY19" s="364">
        <v>0.33600000000000002</v>
      </c>
      <c r="AZ19" s="3">
        <f>AY19*M17*N17/1000</f>
        <v>0</v>
      </c>
      <c r="BA19" s="422"/>
      <c r="BB19" s="54" t="s">
        <v>515</v>
      </c>
      <c r="BM19" s="185">
        <f>IF($E$6&lt;&gt;0,SUM(BM17:BM18)-BN19*$BD$5,0)</f>
        <v>0</v>
      </c>
      <c r="BN19" s="1">
        <f>INT(SUM(BM17:BM18)/$BD$5)</f>
        <v>0</v>
      </c>
      <c r="BP19" s="1">
        <f>IF($E$6&lt;&gt;0,SUM(BP17:BP18)-BQ19*$BD$7,0)</f>
        <v>0</v>
      </c>
      <c r="BQ19" s="1">
        <f>INT(SUM(BP17:BP18)/$BD$7)</f>
        <v>0</v>
      </c>
    </row>
    <row r="20" spans="2:84" ht="25.05" customHeight="1" thickBot="1" x14ac:dyDescent="0.4">
      <c r="B20" s="58"/>
      <c r="C20" s="59"/>
      <c r="D20" s="59"/>
      <c r="E20" s="59"/>
      <c r="F20" s="59"/>
      <c r="G20" s="59"/>
      <c r="H20" s="356" t="s">
        <v>447</v>
      </c>
      <c r="K20" s="12"/>
      <c r="L20" s="6"/>
      <c r="M20" s="327"/>
      <c r="N20" s="327"/>
      <c r="O20" s="6"/>
      <c r="P20" s="13"/>
      <c r="T20" s="256"/>
      <c r="U20" s="5"/>
      <c r="V20" s="6"/>
      <c r="W20" s="6"/>
      <c r="X20" s="6"/>
      <c r="Y20" s="6"/>
      <c r="Z20" s="6"/>
      <c r="AA20" s="6"/>
      <c r="AB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365">
        <v>0.33600000000000002</v>
      </c>
      <c r="AZ20" s="3">
        <f>AY20*M18*N18/1000</f>
        <v>0</v>
      </c>
      <c r="BA20" s="423"/>
      <c r="BB20" s="3" t="s">
        <v>516</v>
      </c>
      <c r="BM20" s="614" t="s">
        <v>519</v>
      </c>
      <c r="BN20" s="614"/>
      <c r="BP20" s="615" t="s">
        <v>443</v>
      </c>
      <c r="BQ20" s="615"/>
      <c r="BY20" s="1" t="s">
        <v>85</v>
      </c>
    </row>
    <row r="21" spans="2:84" ht="25.05" customHeight="1" thickBot="1" x14ac:dyDescent="0.35">
      <c r="B21" s="204" t="s">
        <v>107</v>
      </c>
      <c r="C21" s="62">
        <f>E6+1</f>
        <v>1</v>
      </c>
      <c r="D21" s="63" t="str">
        <f>IF(C21&gt;5,BY33,BY34)</f>
        <v xml:space="preserve"> </v>
      </c>
      <c r="E21" s="329"/>
      <c r="F21" s="329"/>
      <c r="G21" s="329"/>
      <c r="H21" s="64"/>
      <c r="K21" s="264"/>
      <c r="L21" s="265"/>
      <c r="M21" s="341"/>
      <c r="N21" s="341"/>
      <c r="O21" s="265"/>
      <c r="P21" s="266"/>
      <c r="Q21" s="245"/>
      <c r="R21" s="267"/>
      <c r="T21" s="5"/>
      <c r="AC21" s="535" t="s">
        <v>102</v>
      </c>
      <c r="AD21" s="535"/>
      <c r="AE21" s="535"/>
      <c r="AF21" s="535"/>
      <c r="AG21" s="535"/>
      <c r="AH21" s="535"/>
      <c r="AI21" s="263">
        <f>AI19+S46+H30</f>
        <v>126136.16999999997</v>
      </c>
      <c r="AY21" s="350" t="s">
        <v>444</v>
      </c>
      <c r="AZ21" s="351">
        <f>IF(E7=CG6,AZ10/2+(AZ9/P9*E9+AZ15+AZ19)/E9,AZ10/2+(AZ9/P9*E9+AZ15+AZ17)/E9)</f>
        <v>5.1695760000000002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Y21" s="1" t="s">
        <v>86</v>
      </c>
      <c r="CF21" s="1" t="s">
        <v>418</v>
      </c>
    </row>
    <row r="22" spans="2:84" ht="25.05" customHeight="1" thickBot="1" x14ac:dyDescent="0.35">
      <c r="B22" s="66"/>
      <c r="C22" s="67"/>
      <c r="D22" s="67"/>
      <c r="E22" s="67"/>
      <c r="F22" s="67"/>
      <c r="G22" s="67"/>
      <c r="H22" s="68"/>
      <c r="K22" s="12"/>
      <c r="L22" s="6"/>
      <c r="M22" s="327"/>
      <c r="N22" s="327"/>
      <c r="O22" s="6"/>
      <c r="P22" s="13"/>
      <c r="Q22" s="5"/>
      <c r="R22" s="5"/>
      <c r="S22" s="6"/>
      <c r="T22" s="5"/>
      <c r="AY22" s="275" t="s">
        <v>445</v>
      </c>
      <c r="AZ22" s="138">
        <f>IF(E7=CG6,AZ10/2+(AZ9/P9*E10+AZ16+AZ20)/E10,AZ10/2+(AZ9/P9*E10+AZ16+AZ18)/E10)</f>
        <v>5.1695760000000002</v>
      </c>
      <c r="CF22" s="1" t="s">
        <v>423</v>
      </c>
    </row>
    <row r="23" spans="2:84" ht="25.05" customHeight="1" thickBot="1" x14ac:dyDescent="0.35">
      <c r="B23" s="66"/>
      <c r="C23" s="67"/>
      <c r="D23" s="67"/>
      <c r="E23" s="67"/>
      <c r="F23" s="67"/>
      <c r="G23" s="67"/>
      <c r="H23" s="68"/>
      <c r="K23" s="413" t="s">
        <v>180</v>
      </c>
      <c r="L23" s="400"/>
      <c r="M23" s="280"/>
      <c r="N23" s="327"/>
      <c r="O23" s="6"/>
      <c r="P23" s="13"/>
      <c r="Q23" s="5"/>
      <c r="R23" s="5"/>
      <c r="S23" s="6"/>
      <c r="U23" s="5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BA23" s="3"/>
      <c r="BB23" s="3"/>
      <c r="BC23" s="3"/>
      <c r="BD23" s="3"/>
      <c r="BE23" s="3"/>
      <c r="BF23" s="241" t="s">
        <v>424</v>
      </c>
      <c r="BG23" s="3"/>
      <c r="BH23" s="3"/>
      <c r="BI23" s="3"/>
      <c r="BJ23" s="3"/>
      <c r="BK23" s="3"/>
      <c r="BL23" s="3"/>
      <c r="BM23" s="3"/>
      <c r="BY23" s="1" t="s">
        <v>98</v>
      </c>
      <c r="CF23" s="1" t="s">
        <v>420</v>
      </c>
    </row>
    <row r="24" spans="2:84" ht="25.05" customHeight="1" x14ac:dyDescent="0.3">
      <c r="B24" s="69" t="s">
        <v>108</v>
      </c>
      <c r="C24" s="328" t="s">
        <v>109</v>
      </c>
      <c r="D24" s="70" t="s">
        <v>78</v>
      </c>
      <c r="E24" s="328" t="s">
        <v>110</v>
      </c>
      <c r="F24" s="328" t="s">
        <v>111</v>
      </c>
      <c r="G24" s="328" t="s">
        <v>127</v>
      </c>
      <c r="H24" s="71" t="s">
        <v>128</v>
      </c>
      <c r="K24" s="604" t="s">
        <v>0</v>
      </c>
      <c r="L24" s="605"/>
      <c r="M24" s="605"/>
      <c r="N24" s="606"/>
      <c r="O24" s="411" t="s">
        <v>1</v>
      </c>
      <c r="P24" s="239" t="s">
        <v>8</v>
      </c>
      <c r="Q24" s="140"/>
      <c r="R24" s="140"/>
      <c r="S24" s="261" t="s">
        <v>24</v>
      </c>
      <c r="U24" s="5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Y24" s="1" t="s">
        <v>99</v>
      </c>
      <c r="CE24" s="301">
        <f>IF(E25&lt;&gt;0,1,0)</f>
        <v>1</v>
      </c>
      <c r="CF24" s="1" t="s">
        <v>421</v>
      </c>
    </row>
    <row r="25" spans="2:84" ht="25.05" customHeight="1" x14ac:dyDescent="0.3">
      <c r="B25" s="72" t="s">
        <v>112</v>
      </c>
      <c r="C25" s="15" t="s">
        <v>12</v>
      </c>
      <c r="D25" s="95">
        <v>0</v>
      </c>
      <c r="E25" s="16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73">
        <f>IF(C25=$BY$29,$L$5-63,IF(C25=$BY$28,$L$5-62,$L$5-60))</f>
        <v>782</v>
      </c>
      <c r="G25" s="74">
        <f>$E$9</f>
        <v>3</v>
      </c>
      <c r="H25" s="75">
        <f>E25*F25*D25*G25/1000000</f>
        <v>0</v>
      </c>
      <c r="K25" s="519" t="s">
        <v>160</v>
      </c>
      <c r="L25" s="520"/>
      <c r="M25" s="520"/>
      <c r="N25" s="521"/>
      <c r="O25" s="206" t="s">
        <v>216</v>
      </c>
      <c r="P25" s="230">
        <f>E9+E10</f>
        <v>6</v>
      </c>
      <c r="Q25" s="248"/>
      <c r="R25" s="248"/>
      <c r="S25" s="262">
        <f>P25*Цены!J151</f>
        <v>19744.02</v>
      </c>
      <c r="U25" s="140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9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BA25" s="96">
        <v>1000</v>
      </c>
      <c r="BB25" s="96">
        <v>1250</v>
      </c>
      <c r="BC25" s="96">
        <v>1800</v>
      </c>
      <c r="BD25" s="96">
        <v>2000</v>
      </c>
      <c r="BE25" s="96">
        <v>2500</v>
      </c>
      <c r="BF25" s="96">
        <v>2700</v>
      </c>
      <c r="BG25" s="96">
        <v>3000</v>
      </c>
      <c r="BH25" s="96">
        <v>3600</v>
      </c>
      <c r="BI25" s="96">
        <v>3750</v>
      </c>
      <c r="BJ25" s="96">
        <v>4000</v>
      </c>
      <c r="BK25" s="96">
        <v>5000</v>
      </c>
      <c r="BL25" s="142">
        <v>5400</v>
      </c>
      <c r="BM25" s="187"/>
      <c r="BN25" s="186"/>
      <c r="BO25" s="186"/>
      <c r="BP25" s="186"/>
      <c r="BQ25" s="186"/>
      <c r="BR25" s="186"/>
      <c r="BS25" s="186"/>
      <c r="CE25" s="301">
        <f>IF(E26&lt;&gt;0,1,0)</f>
        <v>0</v>
      </c>
      <c r="CF25" s="1" t="s">
        <v>422</v>
      </c>
    </row>
    <row r="26" spans="2:84" ht="25.05" customHeight="1" x14ac:dyDescent="0.3">
      <c r="B26" s="72" t="s">
        <v>113</v>
      </c>
      <c r="C26" s="15" t="s">
        <v>12</v>
      </c>
      <c r="D26" s="95">
        <v>0</v>
      </c>
      <c r="E26" s="17">
        <v>0</v>
      </c>
      <c r="F26" s="73">
        <f>IF(C26=$BY$29,$L$5-63,IF(C26=$BY$28,$L$5-62,$L$5-60))</f>
        <v>782</v>
      </c>
      <c r="G26" s="74">
        <f>IF(E26&lt;&gt;0,$E$9,0)</f>
        <v>0</v>
      </c>
      <c r="H26" s="75">
        <f t="shared" ref="H26:H29" si="19">E26*F26*D26*G26/1000000</f>
        <v>0</v>
      </c>
      <c r="K26" s="517" t="s">
        <v>67</v>
      </c>
      <c r="L26" s="518"/>
      <c r="M26" s="518"/>
      <c r="N26" s="518"/>
      <c r="O26" s="206" t="s">
        <v>217</v>
      </c>
      <c r="P26" s="230">
        <f>IF(OR(E9=1,E10=1),5,6)</f>
        <v>6</v>
      </c>
      <c r="Q26" s="248"/>
      <c r="R26" s="248"/>
      <c r="S26" s="262">
        <f>P26*Цены!J153</f>
        <v>1135.6200000000001</v>
      </c>
      <c r="U26" s="309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Z26" s="3"/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315">
        <f>BL9</f>
        <v>6</v>
      </c>
      <c r="BM26" s="141"/>
      <c r="BN26" s="188"/>
      <c r="BO26" s="188"/>
      <c r="BP26" s="188"/>
      <c r="BQ26" s="188"/>
      <c r="BR26" s="188"/>
      <c r="BS26" s="188"/>
      <c r="CE26" s="301">
        <f>IF(E27&lt;&gt;0,1,0)</f>
        <v>0</v>
      </c>
      <c r="CF26" s="1" t="s">
        <v>419</v>
      </c>
    </row>
    <row r="27" spans="2:84" ht="25.05" customHeight="1" x14ac:dyDescent="0.3">
      <c r="B27" s="72" t="s">
        <v>114</v>
      </c>
      <c r="C27" s="15" t="s">
        <v>12</v>
      </c>
      <c r="D27" s="95">
        <v>0</v>
      </c>
      <c r="E27" s="17">
        <v>0</v>
      </c>
      <c r="F27" s="73">
        <f>IF(C27=$BY$29,$L$5-63,IF(C27=$BY$28,$L$5-62,$L$5-60))</f>
        <v>782</v>
      </c>
      <c r="G27" s="74">
        <f>IF(E27&lt;&gt;0,$E$9,0)</f>
        <v>0</v>
      </c>
      <c r="H27" s="75">
        <f t="shared" si="19"/>
        <v>0</v>
      </c>
      <c r="K27" s="546" t="s">
        <v>73</v>
      </c>
      <c r="L27" s="547"/>
      <c r="M27" s="547"/>
      <c r="N27" s="547"/>
      <c r="O27" s="207" t="s">
        <v>218</v>
      </c>
      <c r="P27" s="230">
        <f>IF(AND(P33&gt;0,OR(E11=BY23,E12=BY23)),0,IF(E12=BY23,1,2))</f>
        <v>0</v>
      </c>
      <c r="Q27" s="248"/>
      <c r="R27" s="248"/>
      <c r="S27" s="262">
        <f>P27*Цены!J159</f>
        <v>0</v>
      </c>
      <c r="U27" s="309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247"/>
      <c r="AH27" s="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315">
        <f>BL10</f>
        <v>1</v>
      </c>
      <c r="BY27" s="65" t="s">
        <v>10</v>
      </c>
      <c r="CE27" s="301">
        <f>IF(E28&lt;&gt;0,1,0)</f>
        <v>0</v>
      </c>
      <c r="CF27" s="1" t="s">
        <v>520</v>
      </c>
    </row>
    <row r="28" spans="2:84" ht="25.05" customHeight="1" x14ac:dyDescent="0.3">
      <c r="B28" s="72" t="s">
        <v>115</v>
      </c>
      <c r="C28" s="15" t="s">
        <v>12</v>
      </c>
      <c r="D28" s="95">
        <v>0</v>
      </c>
      <c r="E28" s="17">
        <v>0</v>
      </c>
      <c r="F28" s="73">
        <f>IF(C28=$BY$29,$L$5-63,IF(C28=$BY$28,$L$5-62,$L$5-60))</f>
        <v>782</v>
      </c>
      <c r="G28" s="74">
        <f>IF(E28&lt;&gt;0,$E$9,0)</f>
        <v>0</v>
      </c>
      <c r="H28" s="75">
        <f t="shared" si="19"/>
        <v>0</v>
      </c>
      <c r="K28" s="548" t="s">
        <v>74</v>
      </c>
      <c r="L28" s="549"/>
      <c r="M28" s="549"/>
      <c r="N28" s="549"/>
      <c r="O28" s="140" t="s">
        <v>226</v>
      </c>
      <c r="P28" s="406">
        <f>P33+2</f>
        <v>6</v>
      </c>
      <c r="Q28" s="249"/>
      <c r="R28" s="249"/>
      <c r="S28" s="262">
        <f>P28*Цены!J160</f>
        <v>802.31999999999994</v>
      </c>
      <c r="T28" s="243"/>
      <c r="U28" s="309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9"/>
      <c r="AI28" s="100"/>
      <c r="AJ28" s="426"/>
      <c r="AK28" s="426"/>
      <c r="AL28" s="426"/>
      <c r="AM28" s="426"/>
      <c r="AN28" s="426"/>
      <c r="AO28" s="426"/>
      <c r="AP28" s="426"/>
      <c r="AQ28" s="426"/>
      <c r="AR28" s="426"/>
      <c r="AS28" s="426"/>
      <c r="AT28" s="426"/>
      <c r="AU28" s="426"/>
      <c r="AV28" s="426"/>
      <c r="AW28" s="426"/>
      <c r="AX28" s="426"/>
      <c r="BA28" s="143">
        <v>0</v>
      </c>
      <c r="BB28" s="143">
        <v>0</v>
      </c>
      <c r="BC28" s="143">
        <v>0</v>
      </c>
      <c r="BD28" s="143">
        <v>0</v>
      </c>
      <c r="BE28" s="141">
        <f>IF(AND((E21+E22)&gt;BD5,BP28=1),1,0)</f>
        <v>0</v>
      </c>
      <c r="BF28" s="143">
        <v>0</v>
      </c>
      <c r="BG28" s="143">
        <v>0</v>
      </c>
      <c r="BH28" s="143">
        <v>0</v>
      </c>
      <c r="BI28" s="143">
        <v>0</v>
      </c>
      <c r="BJ28" s="143">
        <v>0</v>
      </c>
      <c r="BK28" s="141">
        <f>IF(E4+E5&lt;=4950,BR28,IF(AND(BM28&gt;2500,BM28&lt;=4950),BN28+1,BN28)+IF(AND(BM29&gt;2500,BM29&lt;=4950),BN29+1,BN29)+IF(BP28=2,1,0))</f>
        <v>6</v>
      </c>
      <c r="BL28" s="143">
        <v>0</v>
      </c>
      <c r="BM28" s="185">
        <f t="shared" ref="BM28:BN33" si="20">BM11</f>
        <v>0</v>
      </c>
      <c r="BN28" s="185">
        <f t="shared" si="20"/>
        <v>3</v>
      </c>
      <c r="BO28" s="185"/>
      <c r="BP28" s="185">
        <f>BP11</f>
        <v>0</v>
      </c>
      <c r="BQ28" s="185"/>
      <c r="BR28" s="185">
        <f>BR11</f>
        <v>4</v>
      </c>
      <c r="BS28" s="141"/>
      <c r="BY28" s="65" t="s">
        <v>11</v>
      </c>
      <c r="CE28" s="301">
        <f>IF(E29&lt;&gt;0,1,0)</f>
        <v>0</v>
      </c>
      <c r="CF28" s="1" t="s">
        <v>518</v>
      </c>
    </row>
    <row r="29" spans="2:84" ht="25.05" customHeight="1" thickBot="1" x14ac:dyDescent="0.35">
      <c r="B29" s="80" t="s">
        <v>116</v>
      </c>
      <c r="C29" s="15" t="s">
        <v>12</v>
      </c>
      <c r="D29" s="95">
        <v>0</v>
      </c>
      <c r="E29" s="17">
        <v>0</v>
      </c>
      <c r="F29" s="73">
        <f>IF(C29=$BY$29,$L$5-63,IF(C29=$BY$28,$L$5-62,$L$5-60))</f>
        <v>782</v>
      </c>
      <c r="G29" s="74">
        <f>IF(E29&lt;&gt;0,$E$9,0)</f>
        <v>0</v>
      </c>
      <c r="H29" s="75">
        <f t="shared" si="19"/>
        <v>0</v>
      </c>
      <c r="K29" s="517" t="s">
        <v>22</v>
      </c>
      <c r="L29" s="518"/>
      <c r="M29" s="518"/>
      <c r="N29" s="518"/>
      <c r="O29" s="206" t="s">
        <v>219</v>
      </c>
      <c r="P29" s="231">
        <f>IF(AND(E9&gt;1,E10&gt;1,E12=BY23),2,0)</f>
        <v>0</v>
      </c>
      <c r="Q29" s="250"/>
      <c r="R29" s="250"/>
      <c r="S29" s="262">
        <f>P29*Цены!J130</f>
        <v>0</v>
      </c>
      <c r="T29" s="243"/>
      <c r="U29" s="309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9"/>
      <c r="AI29" s="100"/>
      <c r="AJ29" s="426"/>
      <c r="AK29" s="426"/>
      <c r="AL29" s="426"/>
      <c r="AM29" s="426"/>
      <c r="AN29" s="426"/>
      <c r="AO29" s="426"/>
      <c r="AP29" s="426"/>
      <c r="AQ29" s="426"/>
      <c r="AR29" s="426"/>
      <c r="AS29" s="426"/>
      <c r="AT29" s="426"/>
      <c r="AU29" s="426"/>
      <c r="AV29" s="426"/>
      <c r="AW29" s="426"/>
      <c r="AX29" s="426"/>
      <c r="BM29" s="185">
        <f t="shared" si="20"/>
        <v>0</v>
      </c>
      <c r="BN29" s="185">
        <f t="shared" si="20"/>
        <v>3</v>
      </c>
      <c r="BO29" s="185"/>
      <c r="BP29" s="185"/>
      <c r="BQ29" s="185"/>
      <c r="BR29" s="185"/>
      <c r="BY29" s="65" t="s">
        <v>12</v>
      </c>
    </row>
    <row r="30" spans="2:84" ht="25.05" customHeight="1" thickBot="1" x14ac:dyDescent="0.35">
      <c r="B30" s="66"/>
      <c r="C30" s="67"/>
      <c r="D30" s="67"/>
      <c r="E30" s="571" t="s">
        <v>79</v>
      </c>
      <c r="F30" s="572"/>
      <c r="G30" s="573"/>
      <c r="H30" s="81">
        <f>SUM(H25:H29)</f>
        <v>0</v>
      </c>
      <c r="K30" s="561" t="s">
        <v>245</v>
      </c>
      <c r="L30" s="562"/>
      <c r="M30" s="562"/>
      <c r="N30" s="562"/>
      <c r="O30" s="206" t="s">
        <v>243</v>
      </c>
      <c r="P30" s="231">
        <f>IF(AND(E9&gt;2,E11=BY23),E9-2,0)+IF(AND(E10&gt;2,E11=BY23),E10-2,0)</f>
        <v>2</v>
      </c>
      <c r="Q30" s="250"/>
      <c r="R30" s="250"/>
      <c r="S30" s="262">
        <f>P30*Цены!J131</f>
        <v>8617.56</v>
      </c>
      <c r="T30" s="243"/>
      <c r="U30" s="309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9"/>
      <c r="AI30" s="100"/>
      <c r="AJ30" s="426"/>
      <c r="AK30" s="426"/>
      <c r="AL30" s="426"/>
      <c r="AM30" s="426"/>
      <c r="AN30" s="426"/>
      <c r="AO30" s="426"/>
      <c r="AP30" s="426"/>
      <c r="AQ30" s="426"/>
      <c r="AR30" s="426"/>
      <c r="AS30" s="426"/>
      <c r="AT30" s="426"/>
      <c r="AU30" s="426"/>
      <c r="AV30" s="426"/>
      <c r="AW30" s="426"/>
      <c r="AX30" s="426"/>
      <c r="AY30" s="53"/>
      <c r="AZ30" s="53"/>
      <c r="BA30" s="143">
        <v>0</v>
      </c>
      <c r="BB30" s="143">
        <v>0</v>
      </c>
      <c r="BC30" s="143">
        <v>0</v>
      </c>
      <c r="BD30" s="143">
        <v>0</v>
      </c>
      <c r="BE30" s="141">
        <f t="shared" ref="BE30" si="21">IF(BP30=1,1,0)</f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1">
        <f>IF(E4+E5&lt;=5025,BR30,IF(AND(BM30&gt;2500,BM30&lt;=5025),BN30+1,BN30)+IF(AND(BM31&gt;2500,BM31&lt;=5025),BN31+1,BN31)+IF(BP30=2,1,0))</f>
        <v>2</v>
      </c>
      <c r="BL30" s="143">
        <v>0</v>
      </c>
      <c r="BM30" s="185">
        <f t="shared" si="20"/>
        <v>0</v>
      </c>
      <c r="BN30" s="185">
        <f t="shared" si="20"/>
        <v>1</v>
      </c>
      <c r="BO30" s="185"/>
      <c r="BP30" s="185">
        <f>BP13</f>
        <v>0</v>
      </c>
      <c r="BQ30" s="185"/>
      <c r="BR30" s="185">
        <f>BR13</f>
        <v>2</v>
      </c>
      <c r="BS30" s="188"/>
    </row>
    <row r="31" spans="2:84" ht="25.05" customHeight="1" thickBot="1" x14ac:dyDescent="0.35">
      <c r="B31" s="66"/>
      <c r="C31" s="82" t="str">
        <f>IF((SUM(CE24:CE28)/C21)&lt;&gt;1,BY43,BY44)</f>
        <v>Верно внесены высоты вставок</v>
      </c>
      <c r="D31" s="329">
        <f>IF(C31=BY44,1,0)</f>
        <v>1</v>
      </c>
      <c r="E31" s="329"/>
      <c r="F31" s="329"/>
      <c r="G31" s="329"/>
      <c r="H31" s="68"/>
      <c r="K31" s="587" t="s">
        <v>246</v>
      </c>
      <c r="L31" s="588"/>
      <c r="M31" s="588"/>
      <c r="N31" s="588"/>
      <c r="O31" s="206" t="s">
        <v>247</v>
      </c>
      <c r="P31" s="232">
        <f>IF(P30&gt;0,IF(E9&gt;2,1,0)+IF(E10&gt;2,1,0),0)</f>
        <v>2</v>
      </c>
      <c r="Q31" s="251"/>
      <c r="R31" s="251"/>
      <c r="S31" s="262">
        <f>P31*Цены!J132</f>
        <v>3548.38</v>
      </c>
      <c r="T31" s="243"/>
      <c r="U31" s="309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9"/>
      <c r="AI31" s="100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  <c r="AV31" s="426"/>
      <c r="AW31" s="426"/>
      <c r="AX31" s="426"/>
      <c r="AY31" s="53"/>
      <c r="AZ31" s="53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85">
        <f t="shared" si="20"/>
        <v>0</v>
      </c>
      <c r="BN31" s="185">
        <f t="shared" si="20"/>
        <v>1</v>
      </c>
      <c r="BO31" s="185"/>
      <c r="BP31" s="185"/>
      <c r="BQ31" s="185"/>
      <c r="BR31" s="185"/>
      <c r="BS31" s="188"/>
    </row>
    <row r="32" spans="2:84" ht="25.05" customHeight="1" thickBot="1" x14ac:dyDescent="0.35">
      <c r="B32" s="66"/>
      <c r="C32" s="67"/>
      <c r="D32" s="67"/>
      <c r="E32" s="67"/>
      <c r="F32" s="67"/>
      <c r="G32" s="325" t="s">
        <v>261</v>
      </c>
      <c r="H32" s="148">
        <f>ROUNDUP((AZ21+AZ46)*1.1,0)</f>
        <v>30</v>
      </c>
      <c r="K32" s="561" t="s">
        <v>250</v>
      </c>
      <c r="L32" s="562"/>
      <c r="M32" s="562"/>
      <c r="N32" s="562"/>
      <c r="O32" s="206" t="s">
        <v>251</v>
      </c>
      <c r="P32" s="231">
        <f>IF(E9&gt;E10,E9-2,E10-2)</f>
        <v>1</v>
      </c>
      <c r="Q32" s="250"/>
      <c r="R32" s="250"/>
      <c r="S32" s="262">
        <f>P32*Цены!J119</f>
        <v>210.59</v>
      </c>
      <c r="T32" s="243"/>
      <c r="U32" s="309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9"/>
      <c r="AI32" s="100"/>
      <c r="AJ32" s="426"/>
      <c r="AK32" s="426"/>
      <c r="AL32" s="426"/>
      <c r="AM32" s="426"/>
      <c r="AN32" s="426"/>
      <c r="AO32" s="426"/>
      <c r="AP32" s="426"/>
      <c r="AQ32" s="426"/>
      <c r="AR32" s="426"/>
      <c r="AS32" s="426"/>
      <c r="AT32" s="426"/>
      <c r="AU32" s="426"/>
      <c r="AV32" s="426"/>
      <c r="AW32" s="426"/>
      <c r="AX32" s="426"/>
      <c r="AY32" s="3"/>
      <c r="AZ32" s="3"/>
      <c r="BA32" s="143">
        <v>0</v>
      </c>
      <c r="BB32" s="141">
        <f>IF(AND((BM32+BM33)&gt;0,(BM32+BM33)&lt;=1250),1,0)</f>
        <v>0</v>
      </c>
      <c r="BC32" s="143">
        <v>0</v>
      </c>
      <c r="BD32" s="143">
        <v>0</v>
      </c>
      <c r="BE32" s="141">
        <f>IF(AND((BM32+BM33)&gt;1250,(BM32+BM33)&lt;=2500),1,0)</f>
        <v>0</v>
      </c>
      <c r="BF32" s="143">
        <v>0</v>
      </c>
      <c r="BG32" s="143">
        <v>0</v>
      </c>
      <c r="BH32" s="143">
        <v>0</v>
      </c>
      <c r="BI32" s="141">
        <f>IF(AND(BM32&gt;2500,BM32&lt;=3750),1,0)+IF(AND(BM33&gt;2500,BM33&lt;=3750),1,0)+IF(AND((BM32+BM33)&gt;2500,(BM32+BM33)&lt;=3750),1,0)</f>
        <v>0</v>
      </c>
      <c r="BJ32" s="143">
        <v>0</v>
      </c>
      <c r="BK32" s="141">
        <f>IF(BP32=1,0,IF(AND(BM32&gt;3750,BM32&lt;=4950),1,0)+IF(AND(BM33&gt;3750,BM33&lt;=4950),1,0))+BP32+BN32+BN33</f>
        <v>2</v>
      </c>
      <c r="BL32" s="143">
        <v>0</v>
      </c>
      <c r="BM32" s="185">
        <f t="shared" si="20"/>
        <v>0</v>
      </c>
      <c r="BN32" s="185">
        <f t="shared" si="20"/>
        <v>1</v>
      </c>
      <c r="BO32" s="185"/>
      <c r="BP32" s="185">
        <f>IF(AND((BM32+BM33)&gt;3750,(BM32+BM33)&lt;=5000),1,0)</f>
        <v>0</v>
      </c>
      <c r="BQ32" s="185"/>
      <c r="BR32" s="185"/>
      <c r="BS32" s="188"/>
    </row>
    <row r="33" spans="1:83" ht="25.05" customHeight="1" thickBot="1" x14ac:dyDescent="0.35">
      <c r="B33" s="353"/>
      <c r="C33" s="354" t="str">
        <f>IF(AND(SUM(CE24:CE28)/C21=1,E29=0,C21&lt;&gt;1),BY47,BY48)</f>
        <v xml:space="preserve"> </v>
      </c>
      <c r="D33" s="355"/>
      <c r="E33" s="354"/>
      <c r="F33" s="354"/>
      <c r="G33" s="151"/>
      <c r="H33" s="137"/>
      <c r="K33" s="548" t="s">
        <v>42</v>
      </c>
      <c r="L33" s="549"/>
      <c r="M33" s="549"/>
      <c r="N33" s="549"/>
      <c r="O33" s="207" t="s">
        <v>221</v>
      </c>
      <c r="P33" s="231">
        <f>IF(E15=BY24,0,
(IF(L5&lt;650,0,
IF(E11=BY23,2,E9-1))+
(IF(N5&lt;650,0,
IF(E11=BY23,2,E10-1)))))</f>
        <v>4</v>
      </c>
      <c r="Q33" s="250"/>
      <c r="R33" s="250"/>
      <c r="S33" s="262">
        <f>P33*Цены!J105</f>
        <v>8755.2800000000007</v>
      </c>
      <c r="T33" s="243"/>
      <c r="U33" s="309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9"/>
      <c r="AI33" s="100"/>
      <c r="AJ33" s="426"/>
      <c r="AK33" s="426"/>
      <c r="AL33" s="426"/>
      <c r="AM33" s="426"/>
      <c r="AN33" s="426"/>
      <c r="AO33" s="426"/>
      <c r="AP33" s="426"/>
      <c r="AQ33" s="426"/>
      <c r="AR33" s="426"/>
      <c r="AS33" s="426"/>
      <c r="AT33" s="426"/>
      <c r="AU33" s="426"/>
      <c r="AV33" s="426"/>
      <c r="AW33" s="426"/>
      <c r="AX33" s="426"/>
      <c r="AY33" s="144"/>
      <c r="BM33" s="185">
        <f t="shared" si="20"/>
        <v>0</v>
      </c>
      <c r="BN33" s="185">
        <f t="shared" si="20"/>
        <v>1</v>
      </c>
      <c r="BO33" s="185"/>
      <c r="BP33" s="185"/>
      <c r="BQ33" s="185"/>
      <c r="BR33" s="185"/>
      <c r="BS33" s="185"/>
      <c r="BT33" s="188"/>
      <c r="BU33" s="189"/>
      <c r="BV33" s="152"/>
      <c r="BW33" s="152"/>
      <c r="BY33" s="79" t="s">
        <v>117</v>
      </c>
    </row>
    <row r="34" spans="1:83" ht="25.05" customHeight="1" thickBot="1" x14ac:dyDescent="0.35">
      <c r="B34" s="67"/>
      <c r="C34" s="67"/>
      <c r="D34" s="67"/>
      <c r="E34" s="67"/>
      <c r="F34" s="67"/>
      <c r="G34" s="67"/>
      <c r="H34" s="67"/>
      <c r="K34" s="561" t="s">
        <v>125</v>
      </c>
      <c r="L34" s="562"/>
      <c r="M34" s="562"/>
      <c r="N34" s="562"/>
      <c r="O34" s="206" t="s">
        <v>220</v>
      </c>
      <c r="P34" s="231">
        <f>IF(AND(E14=BY23,OR(E9=1,E10=1)),1,IF(AND(E14=BY23,AND(E9&gt;1,E10&gt;1)),2,0))</f>
        <v>0</v>
      </c>
      <c r="Q34" s="250"/>
      <c r="R34" s="250"/>
      <c r="S34" s="262">
        <f>P34*Цены!J154</f>
        <v>0</v>
      </c>
      <c r="T34" s="243"/>
      <c r="U34" s="309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9"/>
      <c r="AI34" s="100"/>
      <c r="AJ34" s="426"/>
      <c r="AK34" s="426"/>
      <c r="AL34" s="426"/>
      <c r="AM34" s="426"/>
      <c r="AN34" s="426"/>
      <c r="AO34" s="426"/>
      <c r="AP34" s="426"/>
      <c r="AQ34" s="426"/>
      <c r="AR34" s="426"/>
      <c r="AS34" s="426"/>
      <c r="AT34" s="426"/>
      <c r="AU34" s="426"/>
      <c r="AV34" s="426"/>
      <c r="AW34" s="426"/>
      <c r="AX34" s="426"/>
      <c r="AY34" s="3"/>
      <c r="BA34" s="143">
        <v>0</v>
      </c>
      <c r="BB34" s="190">
        <f>IF(E7=CG7,IF(AND((BM17+BM18)&gt;0,(BM17+BM18)&lt;=1250),1,0),0)</f>
        <v>0</v>
      </c>
      <c r="BC34" s="191">
        <f>IF(E7=CG6,IF(AND((BP34+BP35)&gt;0,(BP34+BP35)&lt;=1800),1,0),0)</f>
        <v>0</v>
      </c>
      <c r="BD34" s="143">
        <v>0</v>
      </c>
      <c r="BE34" s="190">
        <f>IF(E7=CG7,IF(AND((BM17+BM18)&gt;1250,(BM17+BM18)&lt;=2500),1,0),0)</f>
        <v>0</v>
      </c>
      <c r="BF34" s="191">
        <f>IF(E7=CG6,IF(AND((BP34+BP35)&gt;1800,(BP34+BP35)&lt;=2700),1,0),0)</f>
        <v>0</v>
      </c>
      <c r="BG34" s="143">
        <v>0</v>
      </c>
      <c r="BH34" s="191">
        <f>IF(E7=CG6,IF(AND(BP36&gt;2700,BP36&lt;=3600),1,0),0)</f>
        <v>0</v>
      </c>
      <c r="BI34" s="190">
        <f>IF(E7=CG7,IF(AND(BM36&gt;2500,BM36&lt;=3750),1,0),0)</f>
        <v>0</v>
      </c>
      <c r="BJ34" s="143">
        <v>0</v>
      </c>
      <c r="BK34" s="190">
        <f>IF(E7=CG7,IF(AND(BM19&gt;4000,BM19&lt;=4950),BN17+BN18+1,BN17+BN18),0)</f>
        <v>0</v>
      </c>
      <c r="BL34" s="191">
        <f>IF(E7=CG6,IF(AND(BP19&gt;3600,BP19&lt;=5350),BQ17+BQ18+1,BQ17+BQ18),0)</f>
        <v>0</v>
      </c>
      <c r="BM34" s="185">
        <f>BM17</f>
        <v>0</v>
      </c>
      <c r="BN34" s="185">
        <f>BN17</f>
        <v>0</v>
      </c>
      <c r="BO34" s="185"/>
      <c r="BP34" s="185">
        <f>BP17</f>
        <v>0</v>
      </c>
      <c r="BQ34" s="185">
        <f>BQ17</f>
        <v>0</v>
      </c>
      <c r="BR34" s="185"/>
      <c r="BS34" s="185"/>
      <c r="BT34" s="6"/>
      <c r="BU34" s="6"/>
      <c r="BV34" s="6"/>
      <c r="BW34" s="6"/>
      <c r="BY34" s="79" t="s">
        <v>94</v>
      </c>
    </row>
    <row r="35" spans="1:83" ht="25.05" customHeight="1" thickBot="1" x14ac:dyDescent="0.35">
      <c r="B35" s="58"/>
      <c r="C35" s="59"/>
      <c r="D35" s="59"/>
      <c r="E35" s="59"/>
      <c r="F35" s="59"/>
      <c r="G35" s="59"/>
      <c r="H35" s="356" t="s">
        <v>445</v>
      </c>
      <c r="K35" s="561" t="s">
        <v>222</v>
      </c>
      <c r="L35" s="562"/>
      <c r="M35" s="562"/>
      <c r="N35" s="562"/>
      <c r="O35" s="206" t="s">
        <v>192</v>
      </c>
      <c r="P35" s="231">
        <f>SUM(N15:N18)*2</f>
        <v>24</v>
      </c>
      <c r="Q35" s="250"/>
      <c r="R35" s="250"/>
      <c r="S35" s="262">
        <f>P35*Цены!J186</f>
        <v>249.60000000000002</v>
      </c>
      <c r="T35" s="243"/>
      <c r="U35" s="309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9"/>
      <c r="AI35" s="100"/>
      <c r="AJ35" s="426"/>
      <c r="AK35" s="426"/>
      <c r="AL35" s="426"/>
      <c r="AM35" s="426"/>
      <c r="AN35" s="426"/>
      <c r="AO35" s="426"/>
      <c r="AP35" s="426"/>
      <c r="AQ35" s="426"/>
      <c r="AR35" s="426"/>
      <c r="AS35" s="426"/>
      <c r="AT35" s="426"/>
      <c r="AU35" s="426"/>
      <c r="AV35" s="426"/>
      <c r="AW35" s="426"/>
      <c r="AX35" s="426"/>
      <c r="AY35" s="3"/>
      <c r="BM35" s="185">
        <f>BM18</f>
        <v>0</v>
      </c>
      <c r="BN35" s="185">
        <f>BN18</f>
        <v>0</v>
      </c>
      <c r="BO35" s="185"/>
      <c r="BP35" s="185">
        <f>BP18</f>
        <v>0</v>
      </c>
      <c r="BQ35" s="185">
        <f>BQ18</f>
        <v>0</v>
      </c>
      <c r="BR35" s="185"/>
      <c r="BT35" s="144"/>
      <c r="BU35" s="144"/>
      <c r="BV35" s="144"/>
      <c r="BW35" s="144"/>
    </row>
    <row r="36" spans="1:83" ht="25.05" customHeight="1" thickBot="1" x14ac:dyDescent="0.35">
      <c r="B36" s="204" t="s">
        <v>107</v>
      </c>
      <c r="C36" s="62">
        <f>E6+1</f>
        <v>1</v>
      </c>
      <c r="D36" s="63" t="str">
        <f>IF(C21&gt;5,BY33,BY34)</f>
        <v xml:space="preserve"> </v>
      </c>
      <c r="E36" s="329"/>
      <c r="F36" s="329"/>
      <c r="G36" s="329"/>
      <c r="H36" s="64"/>
      <c r="K36" s="561" t="s">
        <v>82</v>
      </c>
      <c r="L36" s="562"/>
      <c r="M36" s="562"/>
      <c r="N36" s="562"/>
      <c r="O36" s="206" t="s">
        <v>254</v>
      </c>
      <c r="P36" s="233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6" s="252"/>
      <c r="R36" s="252"/>
      <c r="S36" s="262">
        <f>P36*Цены!J179</f>
        <v>0</v>
      </c>
      <c r="T36" s="243"/>
      <c r="U36" s="243"/>
      <c r="V36" s="431"/>
      <c r="W36" s="431"/>
      <c r="X36" s="431"/>
      <c r="Y36" s="431"/>
      <c r="Z36" s="431"/>
      <c r="AA36" s="431"/>
      <c r="AB36" s="431"/>
      <c r="AC36" s="431"/>
      <c r="AD36" s="431"/>
      <c r="AE36" s="431"/>
      <c r="AF36" s="431"/>
      <c r="AG36" s="431"/>
      <c r="AH36" s="431"/>
      <c r="AI36" s="256"/>
      <c r="AJ36" s="425"/>
      <c r="AK36" s="425"/>
      <c r="AL36" s="425"/>
      <c r="AM36" s="425"/>
      <c r="AN36" s="425"/>
      <c r="AO36" s="425"/>
      <c r="AP36" s="425"/>
      <c r="AQ36" s="425"/>
      <c r="AR36" s="425"/>
      <c r="AS36" s="425"/>
      <c r="AT36" s="425"/>
      <c r="AU36" s="425"/>
      <c r="AV36" s="425"/>
      <c r="AW36" s="425"/>
      <c r="AX36" s="425"/>
      <c r="BM36" s="185">
        <f>IF($E$6&lt;&gt;0,SUM(BM34:BM35)-BN36*$BD$5,0)</f>
        <v>0</v>
      </c>
      <c r="BN36" s="1">
        <f>INT(SUM(BM34:BM35)/$BD$5)</f>
        <v>0</v>
      </c>
      <c r="BP36" s="1">
        <f>IF($E$6&lt;&gt;0,SUM(BP34:BP35)-BQ36*$BD$7,0)</f>
        <v>0</v>
      </c>
      <c r="BQ36" s="1">
        <f>INT(SUM(BP34:BP35)/$BD$7)</f>
        <v>0</v>
      </c>
      <c r="BY36" s="1" t="s">
        <v>80</v>
      </c>
    </row>
    <row r="37" spans="1:83" ht="25.05" customHeight="1" x14ac:dyDescent="0.3">
      <c r="B37" s="66"/>
      <c r="C37" s="67"/>
      <c r="D37" s="67"/>
      <c r="E37" s="67"/>
      <c r="F37" s="67"/>
      <c r="G37" s="67"/>
      <c r="H37" s="68"/>
      <c r="K37" s="561" t="s">
        <v>84</v>
      </c>
      <c r="L37" s="562"/>
      <c r="M37" s="562"/>
      <c r="N37" s="562"/>
      <c r="O37" s="206" t="s">
        <v>193</v>
      </c>
      <c r="P37" s="233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7" s="252"/>
      <c r="R37" s="252"/>
      <c r="S37" s="262">
        <f>P37*Цены!J180</f>
        <v>1773.1999999999998</v>
      </c>
      <c r="T37" s="2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BM37" s="614" t="s">
        <v>519</v>
      </c>
      <c r="BN37" s="614"/>
      <c r="BP37" s="615" t="s">
        <v>443</v>
      </c>
      <c r="BQ37" s="615"/>
      <c r="BY37" s="83" t="s">
        <v>159</v>
      </c>
    </row>
    <row r="38" spans="1:83" ht="25.05" customHeight="1" x14ac:dyDescent="0.3">
      <c r="B38" s="66"/>
      <c r="C38" s="67"/>
      <c r="D38" s="67"/>
      <c r="E38" s="67"/>
      <c r="F38" s="67"/>
      <c r="G38" s="67"/>
      <c r="H38" s="68"/>
      <c r="K38" s="561" t="s">
        <v>80</v>
      </c>
      <c r="L38" s="562"/>
      <c r="M38" s="562"/>
      <c r="N38" s="562"/>
      <c r="O38" s="206" t="s">
        <v>194</v>
      </c>
      <c r="P38" s="231">
        <f>IF(E13=BY36,P35,0)</f>
        <v>24</v>
      </c>
      <c r="Q38" s="250"/>
      <c r="R38" s="250"/>
      <c r="S38" s="262">
        <f>P38*Цены!J173</f>
        <v>302.39999999999998</v>
      </c>
      <c r="T38" s="243"/>
      <c r="AY38" s="3"/>
      <c r="BT38" s="3"/>
      <c r="BU38" s="3"/>
      <c r="BV38" s="3"/>
      <c r="BW38" s="3"/>
      <c r="BY38" s="83" t="s">
        <v>129</v>
      </c>
    </row>
    <row r="39" spans="1:83" ht="25.05" customHeight="1" x14ac:dyDescent="0.3">
      <c r="B39" s="69" t="s">
        <v>108</v>
      </c>
      <c r="C39" s="328" t="s">
        <v>109</v>
      </c>
      <c r="D39" s="70" t="s">
        <v>78</v>
      </c>
      <c r="E39" s="328" t="s">
        <v>110</v>
      </c>
      <c r="F39" s="328" t="s">
        <v>111</v>
      </c>
      <c r="G39" s="328" t="s">
        <v>127</v>
      </c>
      <c r="H39" s="71" t="s">
        <v>128</v>
      </c>
      <c r="K39" s="561" t="s">
        <v>165</v>
      </c>
      <c r="L39" s="562"/>
      <c r="M39" s="562"/>
      <c r="N39" s="562"/>
      <c r="O39" s="208" t="s">
        <v>195</v>
      </c>
      <c r="P39" s="406">
        <f>IF(E13=BY37,P35,0)</f>
        <v>0</v>
      </c>
      <c r="Q39" s="249"/>
      <c r="R39" s="249"/>
      <c r="S39" s="262">
        <f>P39*Цены!J134</f>
        <v>0</v>
      </c>
      <c r="T39" s="243"/>
      <c r="AY39" s="3"/>
      <c r="BA39" s="3"/>
      <c r="BB39" s="3"/>
      <c r="BC39" s="3"/>
      <c r="BD39" s="3"/>
      <c r="BE39" s="3"/>
      <c r="BF39" s="241" t="s">
        <v>517</v>
      </c>
      <c r="BG39" s="3"/>
      <c r="BH39" s="3"/>
      <c r="BI39" s="3"/>
      <c r="BJ39" s="3"/>
      <c r="BK39" s="3"/>
      <c r="BL39" s="3"/>
      <c r="BM39" s="3"/>
      <c r="BV39" s="144"/>
      <c r="BW39" s="144"/>
      <c r="BY39" s="1" t="s">
        <v>76</v>
      </c>
      <c r="CE39" s="301">
        <f>IF(E40&lt;&gt;0,1,0)</f>
        <v>1</v>
      </c>
    </row>
    <row r="40" spans="1:83" ht="25.05" customHeight="1" x14ac:dyDescent="0.3">
      <c r="B40" s="72" t="s">
        <v>112</v>
      </c>
      <c r="C40" s="15" t="s">
        <v>12</v>
      </c>
      <c r="D40" s="95">
        <v>0</v>
      </c>
      <c r="E40" s="16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73">
        <f>IF(C40=$BY$29,$N$5-63,IF(C40=$BY$28,$N$5-62,$N$5-60))</f>
        <v>782</v>
      </c>
      <c r="G40" s="74">
        <f>$E$10</f>
        <v>3</v>
      </c>
      <c r="H40" s="75">
        <f>E40*F40*D40*G40/1000000</f>
        <v>0</v>
      </c>
      <c r="K40" s="587" t="s">
        <v>76</v>
      </c>
      <c r="L40" s="588"/>
      <c r="M40" s="588"/>
      <c r="N40" s="588"/>
      <c r="O40" s="206" t="s">
        <v>196</v>
      </c>
      <c r="P40" s="234">
        <f>IF(E13=BY39,ROUNDUP(M9*N9/1000,0),0)</f>
        <v>0</v>
      </c>
      <c r="Q40" s="253"/>
      <c r="R40" s="253"/>
      <c r="S40" s="262">
        <f>P40*Цены!J163</f>
        <v>0</v>
      </c>
      <c r="T40" s="243"/>
      <c r="AY40" s="3"/>
      <c r="AZ40" s="54" t="s">
        <v>446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V40" s="144"/>
      <c r="BW40" s="144"/>
      <c r="BY40" s="6"/>
      <c r="CE40" s="301">
        <f>IF(E41&lt;&gt;0,1,0)</f>
        <v>0</v>
      </c>
    </row>
    <row r="41" spans="1:83" ht="25.05" customHeight="1" x14ac:dyDescent="0.3">
      <c r="B41" s="72" t="s">
        <v>113</v>
      </c>
      <c r="C41" s="15" t="s">
        <v>12</v>
      </c>
      <c r="D41" s="95">
        <v>0</v>
      </c>
      <c r="E41" s="17">
        <v>0</v>
      </c>
      <c r="F41" s="73">
        <f>IF(C41=$BY$29,$N$5-63,IF(C41=$BY$28,$N$5-62,$N$5-60))</f>
        <v>782</v>
      </c>
      <c r="G41" s="74">
        <f>IF(E41&lt;&gt;0,$E$10,0)</f>
        <v>0</v>
      </c>
      <c r="H41" s="75">
        <f>E41*F41*D41*G41/1000000</f>
        <v>0</v>
      </c>
      <c r="K41" s="587" t="s">
        <v>129</v>
      </c>
      <c r="L41" s="588"/>
      <c r="M41" s="588"/>
      <c r="N41" s="588"/>
      <c r="O41" s="206" t="s">
        <v>197</v>
      </c>
      <c r="P41" s="234">
        <f>IF(E13=BY38,ROUNDUP(M9*N9/1000,0),0)</f>
        <v>0</v>
      </c>
      <c r="Q41" s="253"/>
      <c r="R41" s="253"/>
      <c r="S41" s="262">
        <f>P41*Цены!J182</f>
        <v>0</v>
      </c>
      <c r="T41" s="243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7"/>
      <c r="AY41" s="3"/>
      <c r="AZ41" s="146">
        <f>IF(C25=$BY$27,(F25*E25/1000000)*8,IF(C25=$BY$28,(F25*E25/1000000)*6.5,(F25*E25/1000000)*11))</f>
        <v>21.444786000000001</v>
      </c>
      <c r="BA41" s="96">
        <v>1000</v>
      </c>
      <c r="BB41" s="96">
        <v>1250</v>
      </c>
      <c r="BC41" s="96">
        <v>1800</v>
      </c>
      <c r="BD41" s="96">
        <v>2000</v>
      </c>
      <c r="BE41" s="96">
        <v>2500</v>
      </c>
      <c r="BF41" s="96">
        <v>2700</v>
      </c>
      <c r="BG41" s="96">
        <v>3000</v>
      </c>
      <c r="BH41" s="96">
        <v>3600</v>
      </c>
      <c r="BI41" s="96">
        <v>3750</v>
      </c>
      <c r="BJ41" s="96">
        <v>4000</v>
      </c>
      <c r="BK41" s="96">
        <v>5000</v>
      </c>
      <c r="BL41" s="142">
        <v>5400</v>
      </c>
      <c r="BM41" s="187"/>
      <c r="BN41" s="186"/>
      <c r="BO41" s="186"/>
      <c r="BP41" s="186"/>
      <c r="BQ41" s="186"/>
      <c r="BR41" s="186"/>
      <c r="BS41" s="186"/>
      <c r="BV41" s="144"/>
      <c r="BW41" s="144"/>
      <c r="CE41" s="301">
        <f>IF(E42&lt;&gt;0,1,0)</f>
        <v>0</v>
      </c>
    </row>
    <row r="42" spans="1:83" ht="25.05" customHeight="1" x14ac:dyDescent="0.3">
      <c r="B42" s="72" t="s">
        <v>114</v>
      </c>
      <c r="C42" s="15" t="s">
        <v>12</v>
      </c>
      <c r="D42" s="95">
        <v>0</v>
      </c>
      <c r="E42" s="17">
        <v>0</v>
      </c>
      <c r="F42" s="73">
        <f>IF(C42=$BY$29,$N$5-63,IF(C42=$BY$28,$N$5-62,$N$5-60))</f>
        <v>782</v>
      </c>
      <c r="G42" s="74">
        <f t="shared" ref="G42:G44" si="22">IF(E42&lt;&gt;0,$E$10,0)</f>
        <v>0</v>
      </c>
      <c r="H42" s="75">
        <f>E42*F42*D42*G42/1000000</f>
        <v>0</v>
      </c>
      <c r="K42" s="587" t="s">
        <v>161</v>
      </c>
      <c r="L42" s="588"/>
      <c r="M42" s="588"/>
      <c r="N42" s="588"/>
      <c r="O42" s="293" t="s">
        <v>198</v>
      </c>
      <c r="P42" s="232">
        <f>IF(P41&gt;0,N9*2,0)</f>
        <v>0</v>
      </c>
      <c r="Q42" s="251"/>
      <c r="R42" s="251"/>
      <c r="S42" s="262">
        <f>P42*Цены!J178</f>
        <v>0</v>
      </c>
      <c r="T42" s="243"/>
      <c r="AY42" s="3"/>
      <c r="AZ42" s="146">
        <f>IF(C26=$BY$27,(F26*E26/1000000)*8,IF(C26=$BY$28,(F26*E26/1000000)*6.5,(F26*E26/1000000)*11))</f>
        <v>0</v>
      </c>
      <c r="BA42" s="141">
        <v>0</v>
      </c>
      <c r="BB42" s="141">
        <v>0</v>
      </c>
      <c r="BC42" s="141">
        <v>0</v>
      </c>
      <c r="BD42" s="141">
        <v>0</v>
      </c>
      <c r="BE42" s="141">
        <v>0</v>
      </c>
      <c r="BF42" s="141">
        <v>0</v>
      </c>
      <c r="BG42" s="141">
        <v>0</v>
      </c>
      <c r="BH42" s="141">
        <v>0</v>
      </c>
      <c r="BI42" s="141">
        <v>0</v>
      </c>
      <c r="BJ42" s="141">
        <v>0</v>
      </c>
      <c r="BK42" s="141">
        <v>0</v>
      </c>
      <c r="BL42" s="315">
        <f>BL26</f>
        <v>6</v>
      </c>
      <c r="BM42" s="141"/>
      <c r="BN42" s="188"/>
      <c r="BO42" s="188"/>
      <c r="BP42" s="188"/>
      <c r="BQ42" s="188"/>
      <c r="BR42" s="188"/>
      <c r="BS42" s="188"/>
      <c r="BV42" s="152"/>
      <c r="BW42" s="152"/>
      <c r="CE42" s="301">
        <f>IF(E43&lt;&gt;0,1,0)</f>
        <v>0</v>
      </c>
    </row>
    <row r="43" spans="1:83" ht="25.05" customHeight="1" x14ac:dyDescent="0.3">
      <c r="B43" s="72" t="s">
        <v>115</v>
      </c>
      <c r="C43" s="15" t="s">
        <v>12</v>
      </c>
      <c r="D43" s="95">
        <v>0</v>
      </c>
      <c r="E43" s="17">
        <v>0</v>
      </c>
      <c r="F43" s="73">
        <f>IF(C43=$BY$29,$N$5-63,IF(C43=$BY$28,$N$5-62,$N$5-60))</f>
        <v>782</v>
      </c>
      <c r="G43" s="74">
        <f t="shared" si="22"/>
        <v>0</v>
      </c>
      <c r="H43" s="75">
        <f>E43*F43*D43*G43/1000000</f>
        <v>0</v>
      </c>
      <c r="K43" s="587" t="s">
        <v>162</v>
      </c>
      <c r="L43" s="588"/>
      <c r="M43" s="588"/>
      <c r="N43" s="588"/>
      <c r="O43" s="206" t="s">
        <v>224</v>
      </c>
      <c r="P43" s="232">
        <f>E16</f>
        <v>0</v>
      </c>
      <c r="Q43" s="251"/>
      <c r="R43" s="251"/>
      <c r="S43" s="262">
        <f>P43*Цены!J148</f>
        <v>0</v>
      </c>
      <c r="T43" s="243"/>
      <c r="AY43" s="3"/>
      <c r="AZ43" s="146">
        <f>IF(C27=$BY$27,(F27*E27/1000000)*8,IF(C27=$BY$28,(F27*E27/1000000)*6.5,(F27*E27/1000000)*11))</f>
        <v>0</v>
      </c>
      <c r="BA43" s="141">
        <v>0</v>
      </c>
      <c r="BB43" s="141">
        <v>0</v>
      </c>
      <c r="BC43" s="141">
        <v>0</v>
      </c>
      <c r="BD43" s="141">
        <v>0</v>
      </c>
      <c r="BE43" s="141">
        <v>0</v>
      </c>
      <c r="BF43" s="141">
        <v>0</v>
      </c>
      <c r="BG43" s="141">
        <v>0</v>
      </c>
      <c r="BH43" s="141">
        <v>0</v>
      </c>
      <c r="BI43" s="141">
        <v>0</v>
      </c>
      <c r="BJ43" s="141">
        <v>0</v>
      </c>
      <c r="BK43" s="141">
        <v>0</v>
      </c>
      <c r="BL43" s="315">
        <f>BL27</f>
        <v>1</v>
      </c>
      <c r="BV43" s="144"/>
      <c r="BW43" s="144"/>
      <c r="BY43" s="79" t="s">
        <v>118</v>
      </c>
      <c r="CE43" s="301">
        <f>IF(E44&lt;&gt;0,1,0)</f>
        <v>0</v>
      </c>
    </row>
    <row r="44" spans="1:83" ht="25.05" customHeight="1" thickBot="1" x14ac:dyDescent="0.35">
      <c r="B44" s="80" t="s">
        <v>116</v>
      </c>
      <c r="C44" s="15" t="s">
        <v>12</v>
      </c>
      <c r="D44" s="95">
        <v>0</v>
      </c>
      <c r="E44" s="17">
        <v>0</v>
      </c>
      <c r="F44" s="73">
        <f>IF(C44=$BY$29,$N$5-63,IF(C44=$BY$28,$N$5-62,$N$5-60))</f>
        <v>782</v>
      </c>
      <c r="G44" s="74">
        <f t="shared" si="22"/>
        <v>0</v>
      </c>
      <c r="H44" s="75">
        <f>E44*F44*D44*G44/1000000</f>
        <v>0</v>
      </c>
      <c r="K44" s="519" t="s">
        <v>469</v>
      </c>
      <c r="L44" s="520"/>
      <c r="M44" s="520"/>
      <c r="N44" s="520"/>
      <c r="O44" s="236" t="s">
        <v>470</v>
      </c>
      <c r="P44" s="339">
        <f>E17</f>
        <v>0</v>
      </c>
      <c r="Q44" s="251"/>
      <c r="R44" s="251"/>
      <c r="S44" s="262">
        <f>P44*Цены!J187</f>
        <v>0</v>
      </c>
      <c r="T44" s="257"/>
      <c r="AY44" s="5"/>
      <c r="AZ44" s="146">
        <f>IF(C28=$BY$27,(F28*E28/1000000)*8,IF(C28=$BY$28,(F28*E28/1000000)*6.5,(F28*E28/1000000)*11))</f>
        <v>0</v>
      </c>
      <c r="BA44" s="143">
        <v>0</v>
      </c>
      <c r="BB44" s="143">
        <v>0</v>
      </c>
      <c r="BC44" s="143">
        <v>0</v>
      </c>
      <c r="BD44" s="143">
        <v>0</v>
      </c>
      <c r="BE44" s="141">
        <f>IF(AND((E37+E38)&gt;BD5,BP44=1),1,0)</f>
        <v>0</v>
      </c>
      <c r="BF44" s="143">
        <v>0</v>
      </c>
      <c r="BG44" s="143">
        <v>0</v>
      </c>
      <c r="BH44" s="143">
        <v>0</v>
      </c>
      <c r="BI44" s="143">
        <v>0</v>
      </c>
      <c r="BJ44" s="143">
        <v>0</v>
      </c>
      <c r="BK44" s="141">
        <f>IF(E4+E5&lt;=4950,BR44,IF(AND(BM44&gt;2500,BM44&lt;=4950),BN44+1,BN44)+IF(AND(BM45&gt;2500,BM45&lt;=4950),BN45+1,BN45)+IF(BP44=2,1,0))</f>
        <v>6</v>
      </c>
      <c r="BL44" s="143">
        <v>0</v>
      </c>
      <c r="BM44" s="185">
        <f>BM28</f>
        <v>0</v>
      </c>
      <c r="BN44" s="185">
        <f t="shared" ref="BN44:BR44" si="23">BN28</f>
        <v>3</v>
      </c>
      <c r="BO44" s="185"/>
      <c r="BP44" s="185">
        <f t="shared" si="23"/>
        <v>0</v>
      </c>
      <c r="BQ44" s="185"/>
      <c r="BR44" s="185">
        <f t="shared" si="23"/>
        <v>4</v>
      </c>
      <c r="BS44" s="185"/>
      <c r="BY44" s="79" t="s">
        <v>119</v>
      </c>
    </row>
    <row r="45" spans="1:83" ht="25.05" customHeight="1" thickBot="1" x14ac:dyDescent="0.35">
      <c r="B45" s="66"/>
      <c r="C45" s="67"/>
      <c r="D45" s="67"/>
      <c r="E45" s="571" t="s">
        <v>79</v>
      </c>
      <c r="F45" s="572"/>
      <c r="G45" s="573"/>
      <c r="H45" s="81">
        <f>SUM(H40:H44)</f>
        <v>0</v>
      </c>
      <c r="K45" s="587" t="s">
        <v>163</v>
      </c>
      <c r="L45" s="588"/>
      <c r="M45" s="588"/>
      <c r="N45" s="588"/>
      <c r="O45" s="236" t="s">
        <v>225</v>
      </c>
      <c r="P45" s="232">
        <f>IF(AND(E18=BY23,E12=BY23),1,IF(AND(E18=BY23,E11=BY23),2,IF(E18=BY23,E9-1+E10-1,0)))</f>
        <v>0</v>
      </c>
      <c r="Q45" s="250"/>
      <c r="R45" s="250"/>
      <c r="S45" s="439">
        <f>P46*Цены!J169</f>
        <v>123.42</v>
      </c>
      <c r="T45" s="5"/>
      <c r="U45" s="243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146">
        <f>IF(C29=$BY$27,(F29*E29/1000000)*8,IF(C29=$BY$28,(F29*E29/1000000)*6.5,(F29*E29/1000000)*11))</f>
        <v>0</v>
      </c>
      <c r="BM45" s="185">
        <f t="shared" ref="BM45:BR45" si="24">BM29</f>
        <v>0</v>
      </c>
      <c r="BN45" s="185">
        <f t="shared" si="24"/>
        <v>3</v>
      </c>
      <c r="BO45" s="185"/>
      <c r="BP45" s="185">
        <f t="shared" si="24"/>
        <v>0</v>
      </c>
      <c r="BQ45" s="185"/>
      <c r="BR45" s="185">
        <f t="shared" si="24"/>
        <v>0</v>
      </c>
      <c r="BS45" s="185"/>
    </row>
    <row r="46" spans="1:83" ht="25.05" customHeight="1" thickBot="1" x14ac:dyDescent="0.35">
      <c r="B46" s="66"/>
      <c r="C46" s="82" t="str">
        <f>IF((SUM(CE39:CE43)/C21)&lt;&gt;1,BY43,BY44)</f>
        <v>Верно внесены высоты вставок</v>
      </c>
      <c r="D46" s="329">
        <f>IF(C46=BY44,1,0)</f>
        <v>1</v>
      </c>
      <c r="E46" s="329"/>
      <c r="F46" s="329"/>
      <c r="G46" s="329"/>
      <c r="H46" s="68"/>
      <c r="K46" s="596" t="s">
        <v>463</v>
      </c>
      <c r="L46" s="597"/>
      <c r="M46" s="597"/>
      <c r="N46" s="597"/>
      <c r="O46" s="445" t="s">
        <v>464</v>
      </c>
      <c r="P46" s="432">
        <f>P30</f>
        <v>2</v>
      </c>
      <c r="Q46" s="246"/>
      <c r="R46" s="595" t="s">
        <v>425</v>
      </c>
      <c r="S46" s="440">
        <f>SUM(S25:S45)</f>
        <v>45262.389999999985</v>
      </c>
      <c r="T46" s="257"/>
      <c r="U46" s="24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5"/>
      <c r="AZ46" s="147">
        <f>SUM(AZ41:AZ45)</f>
        <v>21.444786000000001</v>
      </c>
      <c r="BA46" s="143">
        <v>0</v>
      </c>
      <c r="BB46" s="143">
        <v>0</v>
      </c>
      <c r="BC46" s="143">
        <v>0</v>
      </c>
      <c r="BD46" s="143">
        <v>0</v>
      </c>
      <c r="BE46" s="141">
        <f t="shared" ref="BE46" si="25">IF(BP46=1,1,0)</f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1">
        <f>IF(E4+E5&lt;=5025,BR46,IF(AND(BM46&gt;2500,BM46&lt;=5025),BN46+1,BN46)+IF(AND(BM47&gt;2500,BM47&lt;=5025),BN47+1,BN47)+IF(BP46=2,1,0))</f>
        <v>2</v>
      </c>
      <c r="BL46" s="143">
        <v>0</v>
      </c>
      <c r="BM46" s="185">
        <f t="shared" ref="BM46:BR46" si="26">BM30</f>
        <v>0</v>
      </c>
      <c r="BN46" s="185">
        <f t="shared" si="26"/>
        <v>1</v>
      </c>
      <c r="BO46" s="185"/>
      <c r="BP46" s="185">
        <f t="shared" si="26"/>
        <v>0</v>
      </c>
      <c r="BQ46" s="185"/>
      <c r="BR46" s="185">
        <f t="shared" si="26"/>
        <v>2</v>
      </c>
      <c r="BS46" s="185"/>
    </row>
    <row r="47" spans="1:83" ht="25.05" customHeight="1" thickBot="1" x14ac:dyDescent="0.4">
      <c r="A47" s="6"/>
      <c r="B47" s="66"/>
      <c r="C47" s="67"/>
      <c r="D47" s="67"/>
      <c r="E47" s="67"/>
      <c r="F47" s="67"/>
      <c r="G47" s="325" t="s">
        <v>261</v>
      </c>
      <c r="H47" s="357">
        <f>ROUNDUP((AZ22+AZ55)*1.1,0)</f>
        <v>30</v>
      </c>
      <c r="I47" s="6"/>
      <c r="J47" s="6"/>
      <c r="K47" s="6"/>
      <c r="L47" s="6"/>
      <c r="M47" s="327"/>
      <c r="N47" s="345"/>
      <c r="O47" s="99"/>
      <c r="P47" s="99"/>
      <c r="Q47" s="254"/>
      <c r="R47" s="595"/>
      <c r="S47" s="6"/>
      <c r="T47" s="5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85">
        <f t="shared" ref="BM47:BP47" si="27">BM31</f>
        <v>0</v>
      </c>
      <c r="BN47" s="185">
        <f t="shared" si="27"/>
        <v>1</v>
      </c>
      <c r="BO47" s="185"/>
      <c r="BP47" s="185">
        <f t="shared" si="27"/>
        <v>0</v>
      </c>
      <c r="BQ47" s="185"/>
      <c r="BR47" s="185"/>
      <c r="BS47" s="185"/>
      <c r="BY47" s="90" t="s">
        <v>126</v>
      </c>
    </row>
    <row r="48" spans="1:83" ht="25.05" customHeight="1" thickBot="1" x14ac:dyDescent="0.35">
      <c r="A48" s="6"/>
      <c r="B48" s="353"/>
      <c r="C48" s="354" t="str">
        <f>IF(AND(SUM(CE39:CE43)/C21=1,E44=0,C21&lt;&gt;1),BY47,BY48)</f>
        <v xml:space="preserve"> </v>
      </c>
      <c r="D48" s="355"/>
      <c r="E48" s="354"/>
      <c r="F48" s="354"/>
      <c r="G48" s="151"/>
      <c r="H48" s="137"/>
      <c r="K48" s="6"/>
      <c r="L48" s="6"/>
      <c r="M48" s="616" t="s">
        <v>521</v>
      </c>
      <c r="N48" s="616"/>
      <c r="O48" s="616"/>
      <c r="P48" s="616"/>
      <c r="Q48" s="414"/>
      <c r="R48" s="6"/>
      <c r="S48" s="134">
        <f>S19+S46+H30</f>
        <v>126136.16999999997</v>
      </c>
      <c r="T48" s="5"/>
      <c r="BA48" s="143">
        <v>0</v>
      </c>
      <c r="BB48" s="143">
        <v>0</v>
      </c>
      <c r="BC48" s="143">
        <v>0</v>
      </c>
      <c r="BD48" s="143">
        <v>0</v>
      </c>
      <c r="BE48" s="141">
        <f>IF(AND((BM48+BM49)&gt;0,(BM48+BM49)&lt;=2500),1,0)</f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1">
        <f>IF(BP48=1,0,IF(AND(BM48&gt;2500,BM48&lt;=4950),1,0)+IF(AND(BM49&gt;2500,BM49&lt;=4950),1,0))+BP48+BN48+BN49</f>
        <v>2</v>
      </c>
      <c r="BL48" s="143">
        <v>0</v>
      </c>
      <c r="BM48" s="185">
        <f t="shared" ref="BM48:BP48" si="28">BM32</f>
        <v>0</v>
      </c>
      <c r="BN48" s="185">
        <f t="shared" si="28"/>
        <v>1</v>
      </c>
      <c r="BO48" s="185"/>
      <c r="BP48" s="185">
        <f t="shared" si="28"/>
        <v>0</v>
      </c>
      <c r="BQ48" s="185"/>
      <c r="BR48" s="185"/>
      <c r="BS48" s="185"/>
      <c r="BY48" s="1" t="s">
        <v>94</v>
      </c>
    </row>
    <row r="49" spans="1:79" ht="30" customHeight="1" x14ac:dyDescent="0.3">
      <c r="A49" s="6"/>
      <c r="T49" s="5"/>
      <c r="AZ49" s="54" t="s">
        <v>450</v>
      </c>
      <c r="BM49" s="185">
        <f t="shared" ref="BM49:BP49" si="29">BM33</f>
        <v>0</v>
      </c>
      <c r="BN49" s="185">
        <f t="shared" si="29"/>
        <v>1</v>
      </c>
      <c r="BO49" s="185"/>
      <c r="BP49" s="185">
        <f t="shared" si="29"/>
        <v>0</v>
      </c>
      <c r="BQ49" s="185"/>
      <c r="BR49" s="185"/>
      <c r="BS49" s="185"/>
      <c r="BT49" s="188"/>
      <c r="BU49" s="189"/>
      <c r="BY49" s="6"/>
    </row>
    <row r="50" spans="1:79" ht="30" customHeight="1" x14ac:dyDescent="0.3">
      <c r="A50" s="6"/>
      <c r="T50" s="5"/>
      <c r="AZ50" s="146">
        <f>IF(C40=$BY$27,(F40*E40/1000000)*8,IF(C40=$BY$28,(F40*E40/1000000)*6.5,(F40*E40/1000000)*11))</f>
        <v>21.444786000000001</v>
      </c>
      <c r="BA50" s="143">
        <v>0</v>
      </c>
      <c r="BB50" s="143">
        <v>0</v>
      </c>
      <c r="BC50" s="143">
        <v>0</v>
      </c>
      <c r="BD50" s="143">
        <v>0</v>
      </c>
      <c r="BE50" s="190">
        <f>IF(E7=CG7,IF(AND((BM50+BM51)&gt;0,(BM50+BM51)&lt;=2500),1,0),0)</f>
        <v>0</v>
      </c>
      <c r="BF50" s="191">
        <f>IF(E7=CG6,IF(AND((BP50+BP51)&gt;0,(BP50+BP51)&lt;=2700),1,0),0)</f>
        <v>0</v>
      </c>
      <c r="BG50" s="143">
        <v>0</v>
      </c>
      <c r="BH50" s="143">
        <v>0</v>
      </c>
      <c r="BI50" s="143">
        <v>0</v>
      </c>
      <c r="BJ50" s="143">
        <v>0</v>
      </c>
      <c r="BK50" s="190">
        <f>IF(E7=CG7,IF(AND(BM19&gt;4000,BM19&lt;=4950),BN17+BN18+1,BN17+BN18),0)</f>
        <v>0</v>
      </c>
      <c r="BL50" s="191">
        <f>IF(E7=CG6,IF(AND(BP19&gt;3600,BP19&lt;=5350),BQ17+BQ18+1,BQ17+BQ18),0)</f>
        <v>0</v>
      </c>
      <c r="BM50" s="185">
        <f t="shared" ref="BM50:BQ50" si="30">BM34</f>
        <v>0</v>
      </c>
      <c r="BN50" s="185">
        <f t="shared" si="30"/>
        <v>0</v>
      </c>
      <c r="BO50" s="185"/>
      <c r="BP50" s="185">
        <f t="shared" si="30"/>
        <v>0</v>
      </c>
      <c r="BQ50" s="185">
        <f t="shared" si="30"/>
        <v>0</v>
      </c>
      <c r="BR50" s="185"/>
      <c r="BS50" s="185"/>
      <c r="BT50" s="6"/>
      <c r="BU50" s="6"/>
      <c r="BY50" s="38" t="str">
        <f>Цены!G6</f>
        <v>Серебро матовое</v>
      </c>
    </row>
    <row r="51" spans="1:79" x14ac:dyDescent="0.3">
      <c r="A51" s="6"/>
      <c r="T51" s="5"/>
      <c r="AZ51" s="146">
        <f>IF(C41=$BY$27,(F41*E41/1000000)*8,IF(C41=$BY$28,(F41*E41/1000000)*6.5,(F41*E41/1000000)*11))</f>
        <v>0</v>
      </c>
      <c r="BM51" s="185">
        <f t="shared" ref="BM51:BQ51" si="31">BM35</f>
        <v>0</v>
      </c>
      <c r="BN51" s="185">
        <f t="shared" si="31"/>
        <v>0</v>
      </c>
      <c r="BO51" s="185"/>
      <c r="BP51" s="185">
        <f t="shared" si="31"/>
        <v>0</v>
      </c>
      <c r="BQ51" s="185">
        <f t="shared" si="31"/>
        <v>0</v>
      </c>
      <c r="BR51" s="185"/>
      <c r="BS51" s="185"/>
      <c r="BT51" s="144"/>
      <c r="BU51" s="144"/>
      <c r="BY51" s="38" t="str">
        <f>Цены!G7</f>
        <v>Черный матовый</v>
      </c>
    </row>
    <row r="52" spans="1:79" x14ac:dyDescent="0.3">
      <c r="A52" s="6"/>
      <c r="T52" s="5"/>
      <c r="AZ52" s="146">
        <f>IF(C42=$BY$27,(F42*E42/1000000)*8,IF(C42=$BY$28,(F42*E42/1000000)*6.5,(F42*E42/1000000)*11))</f>
        <v>0</v>
      </c>
      <c r="BM52" s="185">
        <f>IF($E$6&lt;&gt;0,SUM(BM50:BM51)-BN52*$BD$5,0)</f>
        <v>0</v>
      </c>
      <c r="BN52" s="1">
        <f>INT(SUM(BM50:BM51)/$BD$5)</f>
        <v>0</v>
      </c>
      <c r="BP52" s="1">
        <f>IF($E$6&lt;&gt;0,SUM(BP50:BP51)-BQ52*$BD$7,0)</f>
        <v>0</v>
      </c>
      <c r="BQ52" s="1">
        <f>INT(SUM(BP50:BP51)/$BD$7)</f>
        <v>0</v>
      </c>
      <c r="BY52" s="38" t="str">
        <f>Цены!G8</f>
        <v>Слоновая кость</v>
      </c>
    </row>
    <row r="53" spans="1:79" x14ac:dyDescent="0.3">
      <c r="T53" s="5"/>
      <c r="AZ53" s="146">
        <f>IF(C43=$BY$27,(F43*E43/1000000)*8,IF(C43=$BY$28,(F43*E43/1000000)*6.5,(F43*E43/1000000)*11))</f>
        <v>0</v>
      </c>
      <c r="BM53" s="614" t="s">
        <v>519</v>
      </c>
      <c r="BN53" s="614"/>
      <c r="BP53" s="615" t="s">
        <v>443</v>
      </c>
      <c r="BQ53" s="615"/>
      <c r="BY53" s="38" t="str">
        <f>Цены!G9</f>
        <v>Белый матовый</v>
      </c>
    </row>
    <row r="54" spans="1:79" ht="15" thickBot="1" x14ac:dyDescent="0.35">
      <c r="T54" s="6"/>
      <c r="AZ54" s="146">
        <f>IF(C44=$BY$27,(F44*E44/1000000)*8,IF(C44=$BY$28,(F44*E44/1000000)*6.5,(F44*E44/1000000)*11))</f>
        <v>0</v>
      </c>
      <c r="BY54" s="38" t="str">
        <f>Цены!G10</f>
        <v xml:space="preserve">Венге темный </v>
      </c>
    </row>
    <row r="55" spans="1:79" ht="15" thickBot="1" x14ac:dyDescent="0.35">
      <c r="T55" s="6"/>
      <c r="AZ55" s="147">
        <f>SUM(AZ50:AZ54)</f>
        <v>21.444786000000001</v>
      </c>
      <c r="BY55" s="38" t="str">
        <f>Цены!G11</f>
        <v>Дуб белый</v>
      </c>
    </row>
    <row r="56" spans="1:79" ht="25.05" customHeight="1" x14ac:dyDescent="0.3">
      <c r="BA56" s="3"/>
      <c r="BB56" s="3"/>
      <c r="BC56" s="3"/>
      <c r="BD56" s="3"/>
      <c r="BE56" s="3"/>
      <c r="BF56" s="241" t="s">
        <v>518</v>
      </c>
      <c r="BG56" s="3"/>
      <c r="BH56" s="3"/>
      <c r="BI56" s="3"/>
      <c r="BJ56" s="3"/>
      <c r="BK56" s="3"/>
      <c r="BL56" s="3"/>
      <c r="BM56" s="3"/>
      <c r="BY56" s="38" t="str">
        <f>Цены!G12</f>
        <v xml:space="preserve"> медь античная*</v>
      </c>
    </row>
    <row r="57" spans="1:79" ht="25.05" customHeight="1" x14ac:dyDescent="0.3"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Y57" s="38" t="str">
        <f>Цены!G13</f>
        <v>сталь воронёная</v>
      </c>
    </row>
    <row r="58" spans="1:79" ht="25.05" customHeight="1" x14ac:dyDescent="0.3">
      <c r="BA58" s="96">
        <v>1000</v>
      </c>
      <c r="BB58" s="96">
        <v>1250</v>
      </c>
      <c r="BC58" s="96">
        <v>1800</v>
      </c>
      <c r="BD58" s="96">
        <v>2000</v>
      </c>
      <c r="BE58" s="96">
        <v>2500</v>
      </c>
      <c r="BF58" s="96">
        <v>2700</v>
      </c>
      <c r="BG58" s="96">
        <v>3000</v>
      </c>
      <c r="BH58" s="96">
        <v>3600</v>
      </c>
      <c r="BI58" s="96">
        <v>3750</v>
      </c>
      <c r="BJ58" s="96">
        <v>4000</v>
      </c>
      <c r="BK58" s="96">
        <v>5000</v>
      </c>
      <c r="BL58" s="142">
        <v>5400</v>
      </c>
      <c r="BM58" s="187"/>
      <c r="BN58" s="186"/>
      <c r="BO58" s="186"/>
      <c r="BP58" s="186"/>
      <c r="BQ58" s="186"/>
      <c r="BR58" s="186"/>
      <c r="BS58" s="186"/>
      <c r="BY58" s="38" t="str">
        <f>Цены!G14</f>
        <v>золото матовое</v>
      </c>
    </row>
    <row r="59" spans="1:79" ht="25.05" customHeight="1" x14ac:dyDescent="0.3">
      <c r="BA59" s="141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315">
        <f>BL42</f>
        <v>6</v>
      </c>
      <c r="BM59" s="141"/>
      <c r="BN59" s="188"/>
      <c r="BO59" s="188"/>
      <c r="BP59" s="188"/>
      <c r="BQ59" s="188"/>
      <c r="BR59" s="188"/>
      <c r="BS59" s="188"/>
      <c r="BY59" s="38" t="str">
        <f>Цены!G15</f>
        <v>антрацит</v>
      </c>
      <c r="CA59" s="48">
        <v>0</v>
      </c>
    </row>
    <row r="60" spans="1:79" ht="25.05" customHeight="1" x14ac:dyDescent="0.3">
      <c r="BA60" s="141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315">
        <f>BL43</f>
        <v>1</v>
      </c>
      <c r="BY60" s="38" t="str">
        <f>Цены!G16</f>
        <v>кварц бронзовый*</v>
      </c>
      <c r="CA60" s="48">
        <v>1</v>
      </c>
    </row>
    <row r="61" spans="1:79" ht="25.05" customHeight="1" x14ac:dyDescent="0.3">
      <c r="BA61" s="143">
        <v>0</v>
      </c>
      <c r="BB61" s="143">
        <v>0</v>
      </c>
      <c r="BC61" s="143">
        <v>0</v>
      </c>
      <c r="BD61" s="143">
        <v>0</v>
      </c>
      <c r="BE61" s="141">
        <f>IF(AND((E54+E55)&gt;BD5,BP61=1),1,0)</f>
        <v>0</v>
      </c>
      <c r="BF61" s="143">
        <v>0</v>
      </c>
      <c r="BG61" s="143">
        <v>0</v>
      </c>
      <c r="BH61" s="143">
        <v>0</v>
      </c>
      <c r="BI61" s="143">
        <v>0</v>
      </c>
      <c r="BJ61" s="143">
        <v>0</v>
      </c>
      <c r="BK61" s="141">
        <f>IF(E4+E5&lt;=4950,BR61,IF(AND(BM61&gt;2500,BM61&lt;=4950),BN61+1,BN61)+IF(AND(BM62&gt;2500,BM62&lt;=4950),BN62+1,BN62)+IF(BP61=2,1,0))</f>
        <v>6</v>
      </c>
      <c r="BL61" s="143">
        <v>0</v>
      </c>
      <c r="BM61" s="185">
        <f t="shared" ref="BM61:BN61" si="32">BM44</f>
        <v>0</v>
      </c>
      <c r="BN61" s="185">
        <f t="shared" si="32"/>
        <v>3</v>
      </c>
      <c r="BO61" s="185"/>
      <c r="BP61" s="185">
        <f>BP44</f>
        <v>0</v>
      </c>
      <c r="BQ61" s="185"/>
      <c r="BR61" s="185">
        <f>BR44</f>
        <v>4</v>
      </c>
      <c r="BS61" s="141"/>
      <c r="BY61" s="38" t="str">
        <f>Цены!G17</f>
        <v>жемчуг серый*</v>
      </c>
      <c r="CA61" s="48">
        <v>2</v>
      </c>
    </row>
    <row r="62" spans="1:79" ht="25.05" customHeight="1" x14ac:dyDescent="0.3">
      <c r="AZ62" s="146"/>
      <c r="BM62" s="185">
        <f t="shared" ref="BM62:BN62" si="33">BM45</f>
        <v>0</v>
      </c>
      <c r="BN62" s="185">
        <f t="shared" si="33"/>
        <v>3</v>
      </c>
      <c r="BO62" s="185"/>
      <c r="BP62" s="185"/>
      <c r="BQ62" s="185"/>
      <c r="BR62" s="185"/>
      <c r="BY62" s="38" t="str">
        <f>Цены!G18</f>
        <v>жемчуг розовый*</v>
      </c>
      <c r="CA62" s="48">
        <v>3</v>
      </c>
    </row>
    <row r="63" spans="1:79" ht="25.05" customHeight="1" x14ac:dyDescent="0.3">
      <c r="BA63" s="143">
        <v>0</v>
      </c>
      <c r="BB63" s="143">
        <v>0</v>
      </c>
      <c r="BC63" s="143">
        <v>0</v>
      </c>
      <c r="BD63" s="143">
        <v>0</v>
      </c>
      <c r="BE63" s="141">
        <f t="shared" ref="BE63" si="34">IF(BP63=1,1,0)</f>
        <v>0</v>
      </c>
      <c r="BF63" s="143">
        <v>0</v>
      </c>
      <c r="BG63" s="143">
        <v>0</v>
      </c>
      <c r="BH63" s="143">
        <v>0</v>
      </c>
      <c r="BI63" s="143">
        <v>0</v>
      </c>
      <c r="BJ63" s="143">
        <v>0</v>
      </c>
      <c r="BK63" s="141">
        <f>IF(E4+E5&lt;=5025,BR63,IF(AND(BM63&gt;2500,BM63&lt;=5025),BN63+1,BN63)+IF(AND(BM64&gt;2500,BM64&lt;=5025),BN64+1,BN64)+IF(BP63=2,1,0))</f>
        <v>2</v>
      </c>
      <c r="BL63" s="143">
        <v>0</v>
      </c>
      <c r="BM63" s="185">
        <f t="shared" ref="BM63:BN63" si="35">BM46</f>
        <v>0</v>
      </c>
      <c r="BN63" s="185">
        <f t="shared" si="35"/>
        <v>1</v>
      </c>
      <c r="BO63" s="185"/>
      <c r="BP63" s="185">
        <f>BP46</f>
        <v>0</v>
      </c>
      <c r="BQ63" s="185"/>
      <c r="BR63" s="185">
        <f>BR46</f>
        <v>2</v>
      </c>
      <c r="BS63" s="188"/>
      <c r="CA63" s="48">
        <v>4</v>
      </c>
    </row>
    <row r="64" spans="1:79" ht="25.05" customHeight="1" x14ac:dyDescent="0.3"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85">
        <f t="shared" ref="BM64:BN64" si="36">BM47</f>
        <v>0</v>
      </c>
      <c r="BN64" s="185">
        <f t="shared" si="36"/>
        <v>1</v>
      </c>
      <c r="BO64" s="185"/>
      <c r="BP64" s="185"/>
      <c r="BQ64" s="185"/>
      <c r="BR64" s="185"/>
      <c r="BS64" s="188"/>
      <c r="CA64" s="48">
        <v>5</v>
      </c>
    </row>
    <row r="65" spans="53:77" ht="25.05" customHeight="1" x14ac:dyDescent="0.3">
      <c r="BA65" s="143">
        <v>0</v>
      </c>
      <c r="BB65" s="143">
        <v>0</v>
      </c>
      <c r="BC65" s="143">
        <v>0</v>
      </c>
      <c r="BD65" s="143">
        <v>0</v>
      </c>
      <c r="BE65" s="141">
        <f>IF(AND((BM65+BM66)&gt;0,(BM65+BM66)&lt;=2500),1,0)</f>
        <v>0</v>
      </c>
      <c r="BF65" s="143">
        <v>0</v>
      </c>
      <c r="BG65" s="143">
        <v>0</v>
      </c>
      <c r="BH65" s="143">
        <v>0</v>
      </c>
      <c r="BI65" s="143">
        <v>0</v>
      </c>
      <c r="BJ65" s="143">
        <v>0</v>
      </c>
      <c r="BK65" s="141">
        <f>IF(BP65=1,0,IF(AND(BM65&gt;2500,BM65&lt;=4950),1,0)+IF(AND(BM66&gt;2500,BM66&lt;=4950),1,0))+BP65+BN65+BN66</f>
        <v>2</v>
      </c>
      <c r="BL65" s="143">
        <v>0</v>
      </c>
      <c r="BM65" s="185">
        <f t="shared" ref="BM65:BN65" si="37">BM48</f>
        <v>0</v>
      </c>
      <c r="BN65" s="185">
        <f t="shared" si="37"/>
        <v>1</v>
      </c>
      <c r="BO65" s="185"/>
      <c r="BP65" s="185">
        <f>IF(AND((BM65+BM66)&gt;3750,(BM65+BM66)&lt;=5000),1,0)</f>
        <v>0</v>
      </c>
      <c r="BQ65" s="185"/>
      <c r="BR65" s="185"/>
      <c r="BS65" s="188"/>
    </row>
    <row r="66" spans="53:77" ht="25.05" customHeight="1" x14ac:dyDescent="0.3">
      <c r="BM66" s="185">
        <f t="shared" ref="BM66:BN66" si="38">BM49</f>
        <v>0</v>
      </c>
      <c r="BN66" s="185">
        <f t="shared" si="38"/>
        <v>1</v>
      </c>
      <c r="BO66" s="185"/>
      <c r="BP66" s="185"/>
      <c r="BQ66" s="185"/>
      <c r="BR66" s="185">
        <f>BR49</f>
        <v>0</v>
      </c>
      <c r="BS66" s="185">
        <f>BS49</f>
        <v>0</v>
      </c>
      <c r="BT66" s="188"/>
      <c r="BU66" s="189"/>
    </row>
    <row r="67" spans="53:77" ht="25.05" customHeight="1" x14ac:dyDescent="0.3">
      <c r="BA67" s="143">
        <v>0</v>
      </c>
      <c r="BB67" s="143">
        <v>0</v>
      </c>
      <c r="BC67" s="191">
        <f>IF(E7=CG6,IF(AND((BP67+BP68)&gt;0,(BP67+BP68)&lt;=1800),1,0),0)</f>
        <v>0</v>
      </c>
      <c r="BD67" s="143">
        <v>0</v>
      </c>
      <c r="BE67" s="190">
        <f>IF(E7=CG7,IF(AND((BM67+BM68)&gt;0,(BM67+BM68)&lt;=2500),1,0),0)</f>
        <v>0</v>
      </c>
      <c r="BF67" s="191">
        <f>IF(E7=CG6,IF(AND((BP67+BP68)&gt;1800,(BP67+BP68)&lt;=2700),1,0),0)</f>
        <v>0</v>
      </c>
      <c r="BG67" s="143">
        <v>0</v>
      </c>
      <c r="BH67" s="191">
        <f>IF(E7=CG6,IF(AND(BP36&gt;2700,BP36&lt;=3600),1,0),0)</f>
        <v>0</v>
      </c>
      <c r="BI67" s="143">
        <v>0</v>
      </c>
      <c r="BJ67" s="143">
        <v>0</v>
      </c>
      <c r="BK67" s="190">
        <f>IF(E7=CG7,IF(AND(BM19&gt;4000,BM19&lt;=4950),BN17+BN18+1,BN17+BN18),0)</f>
        <v>0</v>
      </c>
      <c r="BL67" s="191">
        <f>IF(E7=CG6,IF(AND(BP19&gt;3600,BP19&lt;=5350),BQ17+BQ18+1,BQ17+BQ18),0)</f>
        <v>0</v>
      </c>
      <c r="BM67" s="185">
        <f>BM50</f>
        <v>0</v>
      </c>
      <c r="BN67" s="185">
        <f>BN50</f>
        <v>0</v>
      </c>
      <c r="BO67" s="185"/>
      <c r="BP67" s="185">
        <f>BP50</f>
        <v>0</v>
      </c>
      <c r="BQ67" s="185">
        <f>BQ50</f>
        <v>0</v>
      </c>
      <c r="BR67" s="185">
        <f>IF(AND((BM67+BM68)&gt;3750,(BM67+BM68)&lt;=5000),1,0)</f>
        <v>0</v>
      </c>
      <c r="BS67" s="185">
        <f>BS50</f>
        <v>0</v>
      </c>
      <c r="BT67" s="6"/>
      <c r="BU67" s="6"/>
    </row>
    <row r="68" spans="53:77" ht="25.05" customHeight="1" x14ac:dyDescent="0.3">
      <c r="BM68" s="185">
        <f>BM51</f>
        <v>0</v>
      </c>
      <c r="BN68" s="185">
        <f>BN51</f>
        <v>0</v>
      </c>
      <c r="BO68" s="185"/>
      <c r="BP68" s="185">
        <f>BP51</f>
        <v>0</v>
      </c>
      <c r="BQ68" s="185">
        <f>BQ51</f>
        <v>0</v>
      </c>
      <c r="BR68" s="185"/>
      <c r="BT68" s="144"/>
      <c r="BU68" s="144"/>
    </row>
    <row r="69" spans="53:77" x14ac:dyDescent="0.3">
      <c r="BM69" s="185">
        <f>IF($E$6&lt;&gt;0,SUM(BM67:BM68)-BN69*$BD$5,0)</f>
        <v>0</v>
      </c>
      <c r="BN69" s="1">
        <f>INT(SUM(BM67:BM68)/$BD$5)</f>
        <v>0</v>
      </c>
      <c r="BP69" s="1">
        <f>IF($E$6&lt;&gt;0,SUM(BP67:BP68)-BQ69*$BD$7,0)</f>
        <v>0</v>
      </c>
      <c r="BQ69" s="1">
        <f>INT(SUM(BP67:BP68)/$BD$7)</f>
        <v>0</v>
      </c>
      <c r="BY69" s="1" t="s">
        <v>175</v>
      </c>
    </row>
    <row r="70" spans="53:77" x14ac:dyDescent="0.3">
      <c r="BM70" s="614" t="s">
        <v>519</v>
      </c>
      <c r="BN70" s="614"/>
      <c r="BP70" s="615" t="s">
        <v>443</v>
      </c>
      <c r="BQ70" s="615"/>
      <c r="BY70" s="1" t="s">
        <v>174</v>
      </c>
    </row>
  </sheetData>
  <sheetProtection algorithmName="SHA-512" hashValue="Mdl7hwGcY61m0YMTC9vRZY+4Xic0kyA9PL+b8Hb7rh89ZA3UTxX8UuyEjnK0SJdWhHpxamoUcFGz/dtI0Cu4yQ==" saltValue="br16KTl2QtnUaJMGv+LWWw==" spinCount="100000" sheet="1" selectLockedCells="1"/>
  <mergeCells count="146">
    <mergeCell ref="BM70:BN70"/>
    <mergeCell ref="BP70:BQ70"/>
    <mergeCell ref="M48:P48"/>
    <mergeCell ref="W3:Y3"/>
    <mergeCell ref="BM20:BN20"/>
    <mergeCell ref="BP20:BQ20"/>
    <mergeCell ref="BM37:BN37"/>
    <mergeCell ref="BP37:BQ37"/>
    <mergeCell ref="BM53:BN53"/>
    <mergeCell ref="BP53:BQ53"/>
    <mergeCell ref="K31:N31"/>
    <mergeCell ref="S4:S5"/>
    <mergeCell ref="AI17:AI18"/>
    <mergeCell ref="AC15:AC16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K40:N40"/>
    <mergeCell ref="K41:N41"/>
    <mergeCell ref="AE17:AE18"/>
    <mergeCell ref="AF17:AF18"/>
    <mergeCell ref="AG17:AG18"/>
    <mergeCell ref="AH17:AH18"/>
    <mergeCell ref="V17:V18"/>
    <mergeCell ref="W17:W18"/>
    <mergeCell ref="X17:X18"/>
    <mergeCell ref="Y17:Y18"/>
    <mergeCell ref="Z17:Z18"/>
    <mergeCell ref="AA17:AA18"/>
    <mergeCell ref="AB17:AB18"/>
    <mergeCell ref="AC17:AC18"/>
    <mergeCell ref="AD17:AD18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S13:S14"/>
    <mergeCell ref="Z15:Z16"/>
    <mergeCell ref="AA15:AA16"/>
    <mergeCell ref="AB15:AB16"/>
    <mergeCell ref="S15:S16"/>
    <mergeCell ref="V15:V16"/>
    <mergeCell ref="W15:W16"/>
    <mergeCell ref="X15:X16"/>
    <mergeCell ref="Y15:Y16"/>
    <mergeCell ref="V13:V14"/>
    <mergeCell ref="W13:W14"/>
    <mergeCell ref="X13:X14"/>
    <mergeCell ref="AI13:AI14"/>
    <mergeCell ref="AI15:AI16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B18:D18"/>
    <mergeCell ref="E18:H18"/>
    <mergeCell ref="K26:N26"/>
    <mergeCell ref="B15:D15"/>
    <mergeCell ref="E15:H15"/>
    <mergeCell ref="B16:D16"/>
    <mergeCell ref="E16:H16"/>
    <mergeCell ref="V19:AH19"/>
    <mergeCell ref="O17:O18"/>
    <mergeCell ref="P17:P18"/>
    <mergeCell ref="S17:S18"/>
    <mergeCell ref="K24:N24"/>
    <mergeCell ref="K25:N25"/>
    <mergeCell ref="AD15:AD16"/>
    <mergeCell ref="AE15:AE16"/>
    <mergeCell ref="AF15:AF16"/>
    <mergeCell ref="AG15:AG16"/>
    <mergeCell ref="AH15:AH16"/>
    <mergeCell ref="P15:P16"/>
    <mergeCell ref="B17:D17"/>
    <mergeCell ref="E17:H17"/>
    <mergeCell ref="AC21:AH21"/>
    <mergeCell ref="E14:H14"/>
    <mergeCell ref="O15:O16"/>
    <mergeCell ref="K33:N33"/>
    <mergeCell ref="R46:R47"/>
    <mergeCell ref="K32:N32"/>
    <mergeCell ref="K44:N44"/>
    <mergeCell ref="K46:N46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O13:O14"/>
    <mergeCell ref="P13:P14"/>
    <mergeCell ref="K27:N27"/>
    <mergeCell ref="E45:G45"/>
    <mergeCell ref="E30:G30"/>
    <mergeCell ref="K28:N28"/>
    <mergeCell ref="K29:N29"/>
    <mergeCell ref="K30:N30"/>
  </mergeCells>
  <conditionalFormatting sqref="E8 E11:E14 E3:E4 E6">
    <cfRule type="cellIs" dxfId="143" priority="91" operator="greaterThan">
      <formula>0</formula>
    </cfRule>
  </conditionalFormatting>
  <conditionalFormatting sqref="E15:E16 E18">
    <cfRule type="cellIs" dxfId="142" priority="89" operator="greaterThan">
      <formula>0</formula>
    </cfRule>
  </conditionalFormatting>
  <conditionalFormatting sqref="V9:AG11 V13:AG15 V17:AG17">
    <cfRule type="cellIs" dxfId="141" priority="88" operator="equal">
      <formula>0</formula>
    </cfRule>
  </conditionalFormatting>
  <conditionalFormatting sqref="L4">
    <cfRule type="expression" dxfId="140" priority="86">
      <formula>$L$4&gt;3200</formula>
    </cfRule>
  </conditionalFormatting>
  <conditionalFormatting sqref="E7">
    <cfRule type="cellIs" dxfId="139" priority="85" operator="greaterThan">
      <formula>0</formula>
    </cfRule>
  </conditionalFormatting>
  <conditionalFormatting sqref="H32">
    <cfRule type="expression" dxfId="138" priority="84">
      <formula>$H$32&gt;60</formula>
    </cfRule>
  </conditionalFormatting>
  <conditionalFormatting sqref="AI19:AN19 M14:N14 Y13:AI13 E25 F25:H29 L4:L5 H30 T28:T44 M12:N12 N16 T12 O13:R13 M11:R11 T14 M15:R15 T16 T18 U45:U46 T20 P10 AI10 P25:R43 Q44:R45 P45:P46 U12:U19 T46 M9:R9 M17:R17 AS19:AU19 T9:AI9 T10:AG10 U11:AI11 V15:AI15 V17:AI17">
    <cfRule type="expression" dxfId="137" priority="96">
      <formula>$E$4=0</formula>
    </cfRule>
  </conditionalFormatting>
  <conditionalFormatting sqref="AS41:AX41 AJ41:AN41 AI21">
    <cfRule type="expression" dxfId="136" priority="97">
      <formula>$E$4=0</formula>
    </cfRule>
  </conditionalFormatting>
  <conditionalFormatting sqref="L5">
    <cfRule type="expression" dxfId="135" priority="98">
      <formula>AND(OR($L$5&lt;500,$L$5&gt;1200),$E$4&gt;0)</formula>
    </cfRule>
  </conditionalFormatting>
  <conditionalFormatting sqref="E10">
    <cfRule type="cellIs" dxfId="134" priority="102" operator="greaterThan">
      <formula>0</formula>
    </cfRule>
  </conditionalFormatting>
  <conditionalFormatting sqref="E4:H4">
    <cfRule type="expression" dxfId="133" priority="83">
      <formula>$E$4&gt;5000</formula>
    </cfRule>
  </conditionalFormatting>
  <conditionalFormatting sqref="E5">
    <cfRule type="cellIs" dxfId="132" priority="76" operator="greaterThan">
      <formula>0</formula>
    </cfRule>
  </conditionalFormatting>
  <conditionalFormatting sqref="E5:H5">
    <cfRule type="expression" dxfId="131" priority="75">
      <formula>$E$5&gt;5000</formula>
    </cfRule>
  </conditionalFormatting>
  <conditionalFormatting sqref="N4">
    <cfRule type="expression" dxfId="130" priority="72">
      <formula>$L$4&gt;3200</formula>
    </cfRule>
  </conditionalFormatting>
  <conditionalFormatting sqref="N4:N5">
    <cfRule type="expression" dxfId="129" priority="73">
      <formula>$E$4=0</formula>
    </cfRule>
  </conditionalFormatting>
  <conditionalFormatting sqref="N5">
    <cfRule type="expression" dxfId="128" priority="74">
      <formula>AND(OR($N$5&lt;500,$N$5&gt;1200),$E$4&gt;0)</formula>
    </cfRule>
  </conditionalFormatting>
  <conditionalFormatting sqref="E9">
    <cfRule type="cellIs" dxfId="127" priority="71" operator="greaterThan">
      <formula>0</formula>
    </cfRule>
  </conditionalFormatting>
  <conditionalFormatting sqref="D21:G21">
    <cfRule type="expression" dxfId="126" priority="981">
      <formula>$D$21=#REF!</formula>
    </cfRule>
  </conditionalFormatting>
  <conditionalFormatting sqref="AE17">
    <cfRule type="cellIs" dxfId="125" priority="57" operator="equal">
      <formula>0</formula>
    </cfRule>
  </conditionalFormatting>
  <conditionalFormatting sqref="AE17">
    <cfRule type="expression" dxfId="124" priority="58">
      <formula>$E$4=0</formula>
    </cfRule>
  </conditionalFormatting>
  <conditionalFormatting sqref="Y17">
    <cfRule type="cellIs" dxfId="123" priority="61" operator="equal">
      <formula>0</formula>
    </cfRule>
  </conditionalFormatting>
  <conditionalFormatting sqref="Y17">
    <cfRule type="expression" dxfId="122" priority="62">
      <formula>$E$4=0</formula>
    </cfRule>
  </conditionalFormatting>
  <conditionalFormatting sqref="AB17">
    <cfRule type="cellIs" dxfId="121" priority="59" operator="equal">
      <formula>0</formula>
    </cfRule>
  </conditionalFormatting>
  <conditionalFormatting sqref="AB17">
    <cfRule type="expression" dxfId="120" priority="60">
      <formula>$E$4=0</formula>
    </cfRule>
  </conditionalFormatting>
  <conditionalFormatting sqref="AA17">
    <cfRule type="cellIs" dxfId="119" priority="55" operator="equal">
      <formula>0</formula>
    </cfRule>
  </conditionalFormatting>
  <conditionalFormatting sqref="AA17">
    <cfRule type="expression" dxfId="118" priority="56">
      <formula>$E$4=0</formula>
    </cfRule>
  </conditionalFormatting>
  <conditionalFormatting sqref="AC17">
    <cfRule type="cellIs" dxfId="117" priority="53" operator="equal">
      <formula>0</formula>
    </cfRule>
  </conditionalFormatting>
  <conditionalFormatting sqref="AC17">
    <cfRule type="expression" dxfId="116" priority="54">
      <formula>$E$4=0</formula>
    </cfRule>
  </conditionalFormatting>
  <conditionalFormatting sqref="E40 H45 F40:H44">
    <cfRule type="expression" dxfId="115" priority="31">
      <formula>$E$4=0</formula>
    </cfRule>
  </conditionalFormatting>
  <conditionalFormatting sqref="D36:G36">
    <cfRule type="expression" dxfId="114" priority="32">
      <formula>$D$21=#REF!</formula>
    </cfRule>
  </conditionalFormatting>
  <conditionalFormatting sqref="U1:AN2 T47:AN47 S22:T23 S1:T3 T7:T21 U23:AX23 AO1:AX6 S6:T6 T4:T5 U4:Z4 AC3:AN4 AO39:AX47 U3 W3 Z3:AA3 U5:AN8 U9:AI17 U39:AN40 U42:AN46 U41:AB41 AJ41:AN41 U18:AU19 U20:AB20 AJ20:AX20 AC21:AI21 AO7:AU8 T24:T46">
    <cfRule type="expression" dxfId="113" priority="20">
      <formula>$O$3=$CF$9</formula>
    </cfRule>
  </conditionalFormatting>
  <conditionalFormatting sqref="U1:AN2 U23:AX23 U4:Z4 AC3:AN4 U3 AO1:AX6 W3 Z3:AA3 U5:AN8 U9:AI17 U39:AX40 U42:AX47 U41:AB41 AJ41:AX41 U18:AU19 U20:AB20 AJ20:AX20 AC21:AI21 AO7:AU8">
    <cfRule type="expression" dxfId="112" priority="18">
      <formula>$O$3=$CF$10</formula>
    </cfRule>
  </conditionalFormatting>
  <conditionalFormatting sqref="H47">
    <cfRule type="expression" dxfId="111" priority="14">
      <formula>$H$47&gt;60</formula>
    </cfRule>
  </conditionalFormatting>
  <conditionalFormatting sqref="E17">
    <cfRule type="cellIs" dxfId="110" priority="11" operator="greaterThan">
      <formula>0</formula>
    </cfRule>
  </conditionalFormatting>
  <conditionalFormatting sqref="C31">
    <cfRule type="expression" dxfId="109" priority="1002">
      <formula>$C$31=$BY$43</formula>
    </cfRule>
    <cfRule type="expression" dxfId="108" priority="1003">
      <formula>$C$31=$BY$44</formula>
    </cfRule>
  </conditionalFormatting>
  <conditionalFormatting sqref="C33">
    <cfRule type="expression" dxfId="107" priority="1004">
      <formula>$C$33=$BY$47</formula>
    </cfRule>
  </conditionalFormatting>
  <conditionalFormatting sqref="C46">
    <cfRule type="expression" dxfId="106" priority="1009">
      <formula>$C$46=$BY$43</formula>
    </cfRule>
    <cfRule type="expression" dxfId="105" priority="1010">
      <formula>$C$46=$BY$44</formula>
    </cfRule>
  </conditionalFormatting>
  <conditionalFormatting sqref="C48">
    <cfRule type="expression" dxfId="104" priority="1011">
      <formula>$C$48=$BY$47</formula>
    </cfRule>
  </conditionalFormatting>
  <conditionalFormatting sqref="AO19:AR19">
    <cfRule type="expression" dxfId="103" priority="7">
      <formula>$E$4=0</formula>
    </cfRule>
  </conditionalFormatting>
  <conditionalFormatting sqref="AO41:AR41">
    <cfRule type="expression" dxfId="102" priority="8">
      <formula>$E$4=0</formula>
    </cfRule>
  </conditionalFormatting>
  <conditionalFormatting sqref="AJ9:AU17">
    <cfRule type="expression" dxfId="101" priority="3">
      <formula>$E$4=0</formula>
    </cfRule>
  </conditionalFormatting>
  <dataValidations count="11">
    <dataValidation type="list" allowBlank="1" showInputMessage="1" showErrorMessage="1" sqref="E7">
      <formula1>$CG$6:$CG$7</formula1>
    </dataValidation>
    <dataValidation type="list" allowBlank="1" showInputMessage="1" showErrorMessage="1" sqref="E6">
      <formula1>$CA$59:$CA$63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13">
      <formula1>$BY$36:$BY$39</formula1>
    </dataValidation>
    <dataValidation type="list" allowBlank="1" showInputMessage="1" showErrorMessage="1" sqref="C25:C29 C40:C44">
      <formula1>$BY$27:$BY$29</formula1>
    </dataValidation>
    <dataValidation type="list" allowBlank="1" showInputMessage="1" showErrorMessage="1" sqref="E18 E14:E15 E11:E12">
      <formula1>$BY$23:$BY$24</formula1>
    </dataValidation>
    <dataValidation type="list" allowBlank="1" showInputMessage="1" showErrorMessage="1" sqref="E10:H10">
      <formula1>$CA$61:$CA$64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8:H8">
      <formula1>$BY$50:$BY$62</formula1>
    </dataValidation>
    <dataValidation type="list" allowBlank="1" showInputMessage="1" showErrorMessage="1" sqref="Z3:AA3">
      <formula1>$CF$21:$CF$28</formula1>
    </dataValidation>
    <dataValidation type="list" allowBlank="1" showInputMessage="1" showErrorMessage="1" sqref="E9:H9">
      <formula1>$CA$61:$CA$64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7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27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/>
    <pageSetUpPr fitToPage="1"/>
  </sheetPr>
  <dimension ref="A1:CH68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5" customWidth="1"/>
    <col min="17" max="17" width="14.77734375" style="5" hidden="1" customWidth="1"/>
    <col min="18" max="18" width="14.6640625" style="222" customWidth="1"/>
    <col min="19" max="19" width="1.77734375" style="5" customWidth="1"/>
    <col min="20" max="20" width="37.5546875" style="308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1:83" ht="25.05" customHeight="1" x14ac:dyDescent="0.3">
      <c r="B1" s="574" t="s">
        <v>104</v>
      </c>
      <c r="C1" s="574"/>
      <c r="D1" s="574"/>
      <c r="E1" s="574"/>
      <c r="F1" s="574"/>
      <c r="G1" s="574"/>
      <c r="H1" s="574"/>
      <c r="I1" s="149"/>
      <c r="J1" s="574" t="s">
        <v>105</v>
      </c>
      <c r="K1" s="574"/>
      <c r="L1" s="574"/>
      <c r="M1" s="574"/>
      <c r="N1" s="574"/>
      <c r="O1" s="574"/>
    </row>
    <row r="2" spans="1:83" ht="25.05" customHeight="1" thickBot="1" x14ac:dyDescent="0.35"/>
    <row r="3" spans="1:83" ht="25.05" customHeight="1" thickBot="1" x14ac:dyDescent="0.35">
      <c r="A3" s="6"/>
      <c r="B3" s="575" t="s">
        <v>121</v>
      </c>
      <c r="C3" s="576"/>
      <c r="D3" s="576"/>
      <c r="E3" s="625">
        <v>2600</v>
      </c>
      <c r="F3" s="583"/>
      <c r="G3" s="583"/>
      <c r="H3" s="584"/>
      <c r="I3" s="47"/>
      <c r="J3" s="592" t="s">
        <v>263</v>
      </c>
      <c r="K3" s="593"/>
      <c r="N3" s="421"/>
      <c r="O3" s="421"/>
      <c r="P3" s="104"/>
      <c r="Q3" s="104"/>
      <c r="R3" s="3"/>
      <c r="S3" s="3"/>
      <c r="T3" s="3"/>
      <c r="V3" s="366"/>
      <c r="W3" s="645" t="s">
        <v>417</v>
      </c>
      <c r="X3" s="645"/>
      <c r="Y3" s="645"/>
      <c r="Z3" s="560" t="s">
        <v>418</v>
      </c>
      <c r="AA3" s="560"/>
      <c r="AB3" s="366"/>
      <c r="AC3" s="366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BE3" s="241" t="s">
        <v>418</v>
      </c>
    </row>
    <row r="4" spans="1:83" ht="25.05" customHeight="1" x14ac:dyDescent="0.3">
      <c r="B4" s="577" t="s">
        <v>120</v>
      </c>
      <c r="C4" s="578"/>
      <c r="D4" s="578"/>
      <c r="E4" s="624">
        <v>1200</v>
      </c>
      <c r="F4" s="585"/>
      <c r="G4" s="585"/>
      <c r="H4" s="586"/>
      <c r="J4" s="21" t="s">
        <v>18</v>
      </c>
      <c r="K4" s="291">
        <f>IF(E8=BV6,E3-77,E3-57)</f>
        <v>2523</v>
      </c>
      <c r="N4" s="6"/>
      <c r="O4" s="6"/>
      <c r="R4" s="533" t="s">
        <v>453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</row>
    <row r="5" spans="1:83" ht="25.05" customHeight="1" thickBot="1" x14ac:dyDescent="0.35">
      <c r="B5" s="577" t="s">
        <v>442</v>
      </c>
      <c r="C5" s="578"/>
      <c r="D5" s="578"/>
      <c r="E5" s="626">
        <v>1</v>
      </c>
      <c r="F5" s="525"/>
      <c r="G5" s="525"/>
      <c r="H5" s="526"/>
      <c r="J5" s="150" t="s">
        <v>19</v>
      </c>
      <c r="K5" s="292">
        <f>ROUNDDOWN(IF(E9=BV9,(E4-10-10-2)/2,
IF(E9=BV10,(E4-10-10-2-2-10)/4,0)),0)</f>
        <v>589</v>
      </c>
      <c r="L5" s="5"/>
      <c r="M5" s="5"/>
      <c r="N5" s="5"/>
      <c r="O5" s="5"/>
      <c r="R5" s="534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Z5" s="141" t="s">
        <v>256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" t="s">
        <v>89</v>
      </c>
      <c r="BY5" s="1" t="s">
        <v>451</v>
      </c>
      <c r="BZ5" s="1" t="s">
        <v>237</v>
      </c>
      <c r="CA5" s="1">
        <f>IF(E6=BY5,9,8)</f>
        <v>8</v>
      </c>
    </row>
    <row r="6" spans="1:83" ht="25.05" customHeight="1" thickBot="1" x14ac:dyDescent="0.35">
      <c r="B6" s="577" t="s">
        <v>236</v>
      </c>
      <c r="C6" s="578"/>
      <c r="D6" s="578"/>
      <c r="E6" s="626" t="s">
        <v>452</v>
      </c>
      <c r="F6" s="525"/>
      <c r="G6" s="525"/>
      <c r="H6" s="526"/>
      <c r="J6" s="6"/>
      <c r="K6" s="6"/>
      <c r="L6" s="6"/>
      <c r="M6" s="6"/>
      <c r="N6" s="6"/>
      <c r="O6" s="6"/>
      <c r="R6" s="327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Z6" s="141" t="s">
        <v>257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V6" s="1" t="s">
        <v>154</v>
      </c>
      <c r="BY6" s="1" t="s">
        <v>452</v>
      </c>
      <c r="BZ6" s="1" t="s">
        <v>253</v>
      </c>
    </row>
    <row r="7" spans="1:83" ht="25.05" customHeight="1" x14ac:dyDescent="0.3">
      <c r="B7" s="577" t="s">
        <v>122</v>
      </c>
      <c r="C7" s="578"/>
      <c r="D7" s="578"/>
      <c r="E7" s="627" t="s">
        <v>227</v>
      </c>
      <c r="F7" s="628"/>
      <c r="G7" s="628"/>
      <c r="H7" s="629"/>
      <c r="J7" s="647" t="s">
        <v>181</v>
      </c>
      <c r="K7" s="648"/>
      <c r="L7" s="648"/>
      <c r="M7" s="648"/>
      <c r="N7" s="412"/>
      <c r="O7" s="135"/>
      <c r="P7" s="324"/>
      <c r="Q7" s="324"/>
      <c r="R7" s="258"/>
      <c r="S7" s="194"/>
      <c r="T7" s="317"/>
      <c r="U7" s="563" t="s">
        <v>100</v>
      </c>
      <c r="V7" s="563"/>
      <c r="W7" s="563"/>
      <c r="X7" s="563"/>
      <c r="Y7" s="563"/>
      <c r="Z7" s="563"/>
      <c r="AA7" s="563"/>
      <c r="AB7" s="563"/>
      <c r="AC7" s="563"/>
      <c r="AD7" s="563"/>
      <c r="AE7" s="563"/>
      <c r="AF7" s="563"/>
      <c r="AG7" s="563"/>
      <c r="AH7" s="564"/>
      <c r="AI7" s="434"/>
      <c r="AJ7" s="434"/>
      <c r="AK7" s="434"/>
      <c r="AL7" s="434"/>
      <c r="AM7" s="434"/>
      <c r="AN7" s="434"/>
      <c r="AO7" s="434"/>
      <c r="AP7" s="434"/>
      <c r="AQ7" s="434"/>
      <c r="AR7" s="434"/>
      <c r="AS7" s="434"/>
      <c r="AT7" s="434"/>
      <c r="AU7" s="434"/>
      <c r="AV7" s="434"/>
      <c r="AW7" s="434"/>
      <c r="AX7" s="3" t="s">
        <v>265</v>
      </c>
      <c r="AY7" s="3"/>
      <c r="AZ7" s="185" t="s">
        <v>258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X7" s="10"/>
    </row>
    <row r="8" spans="1:83" ht="25.05" customHeight="1" x14ac:dyDescent="0.3">
      <c r="B8" s="641" t="s">
        <v>123</v>
      </c>
      <c r="C8" s="642"/>
      <c r="D8" s="642"/>
      <c r="E8" s="630" t="s">
        <v>154</v>
      </c>
      <c r="F8" s="631"/>
      <c r="G8" s="631"/>
      <c r="H8" s="632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40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</row>
    <row r="9" spans="1:83" ht="25.05" customHeight="1" x14ac:dyDescent="0.35">
      <c r="B9" s="579" t="s">
        <v>124</v>
      </c>
      <c r="C9" s="580"/>
      <c r="D9" s="580"/>
      <c r="E9" s="626">
        <v>1</v>
      </c>
      <c r="F9" s="525"/>
      <c r="G9" s="525"/>
      <c r="H9" s="526"/>
      <c r="J9" s="22" t="s">
        <v>2</v>
      </c>
      <c r="K9" s="238" t="s">
        <v>189</v>
      </c>
      <c r="L9" s="128">
        <f>K4</f>
        <v>2523</v>
      </c>
      <c r="M9" s="129">
        <f>IF(AND(E3&gt;0,E9=BV9),4,IF(AND(E3&gt;0,E9=BV10),8,0))</f>
        <v>4</v>
      </c>
      <c r="N9" s="416"/>
      <c r="O9" s="339">
        <f>IF(L9&gt;2650,M9,M9/2)</f>
        <v>2</v>
      </c>
      <c r="P9" s="269"/>
      <c r="Q9" s="269"/>
      <c r="R9" s="260">
        <f t="shared" ref="R9:R15" si="0">O9*BT9</f>
        <v>10821.96</v>
      </c>
      <c r="S9" s="255"/>
      <c r="T9" s="420" t="str">
        <f>J9</f>
        <v>вертикальный профиль</v>
      </c>
      <c r="U9" s="416">
        <f>IF($Z$3=$CE$21,AZ9,IF($Z$3=$CE$27,AZ35,IF($Z$3=$CE$28,AZ48,AZ22)))</f>
        <v>0</v>
      </c>
      <c r="V9" s="416">
        <f t="shared" ref="V9:AF9" si="1">IF($Z$3=$CE$21,BA9,IF($Z$3=$CE$27,BA35,IF($Z$3=$CE$28,BA48,BA22)))</f>
        <v>0</v>
      </c>
      <c r="W9" s="416">
        <f t="shared" si="1"/>
        <v>0</v>
      </c>
      <c r="X9" s="416">
        <f t="shared" si="1"/>
        <v>0</v>
      </c>
      <c r="Y9" s="416">
        <f t="shared" si="1"/>
        <v>0</v>
      </c>
      <c r="Z9" s="416">
        <f t="shared" si="1"/>
        <v>0</v>
      </c>
      <c r="AA9" s="416">
        <f t="shared" si="1"/>
        <v>0</v>
      </c>
      <c r="AB9" s="416">
        <f t="shared" si="1"/>
        <v>0</v>
      </c>
      <c r="AC9" s="416">
        <f t="shared" si="1"/>
        <v>0</v>
      </c>
      <c r="AD9" s="416">
        <f t="shared" si="1"/>
        <v>0</v>
      </c>
      <c r="AE9" s="416">
        <f t="shared" si="1"/>
        <v>0</v>
      </c>
      <c r="AF9" s="416">
        <f t="shared" si="1"/>
        <v>2</v>
      </c>
      <c r="AG9" s="123"/>
      <c r="AH9" s="417">
        <f>$R$9</f>
        <v>10821.96</v>
      </c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362">
        <v>0.69</v>
      </c>
      <c r="AY9" s="3">
        <f>AX9*L9*M9/1000</f>
        <v>6.9634799999999997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6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48">
        <v>1</v>
      </c>
      <c r="CE9" s="1" t="s">
        <v>455</v>
      </c>
    </row>
    <row r="10" spans="1:83" ht="25.05" customHeight="1" x14ac:dyDescent="0.3">
      <c r="B10" s="553" t="s">
        <v>172</v>
      </c>
      <c r="C10" s="554"/>
      <c r="D10" s="554"/>
      <c r="E10" s="633" t="s">
        <v>85</v>
      </c>
      <c r="F10" s="514"/>
      <c r="G10" s="514"/>
      <c r="H10" s="515"/>
      <c r="J10" s="22" t="s">
        <v>4</v>
      </c>
      <c r="K10" s="235" t="s">
        <v>190</v>
      </c>
      <c r="L10" s="128">
        <f>E4-2</f>
        <v>1198</v>
      </c>
      <c r="M10" s="129">
        <f>IF(E4=0,0,1)</f>
        <v>1</v>
      </c>
      <c r="N10" s="401">
        <f>L10*M10</f>
        <v>1198</v>
      </c>
      <c r="O10" s="339">
        <f>CEILING((L10*M10)/5000,1)</f>
        <v>1</v>
      </c>
      <c r="P10" s="269"/>
      <c r="Q10" s="269"/>
      <c r="R10" s="260">
        <f t="shared" si="0"/>
        <v>5816.07</v>
      </c>
      <c r="S10" s="255"/>
      <c r="T10" s="420" t="str">
        <f t="shared" ref="T10:T13" si="2">J10</f>
        <v>направляющая верхняя</v>
      </c>
      <c r="U10" s="416">
        <f>IF($Z$3=$CE$21,AZ10,IF($Z$3=$CE$27,AZ36,IF($Z$3=$CE$28,AZ49,AZ23)))</f>
        <v>0</v>
      </c>
      <c r="V10" s="416">
        <f t="shared" ref="V10:AF10" si="3">IF($Z$3=$CE$21,BA10,IF($Z$3=$CE$27,BA36,IF($Z$3=$CE$28,BA49,BA23)))</f>
        <v>0</v>
      </c>
      <c r="W10" s="416">
        <f t="shared" si="3"/>
        <v>0</v>
      </c>
      <c r="X10" s="416">
        <f t="shared" si="3"/>
        <v>0</v>
      </c>
      <c r="Y10" s="416">
        <f t="shared" si="3"/>
        <v>1</v>
      </c>
      <c r="Z10" s="416">
        <f t="shared" si="3"/>
        <v>0</v>
      </c>
      <c r="AA10" s="416">
        <f t="shared" si="3"/>
        <v>0</v>
      </c>
      <c r="AB10" s="416">
        <f t="shared" si="3"/>
        <v>0</v>
      </c>
      <c r="AC10" s="416">
        <f t="shared" si="3"/>
        <v>0</v>
      </c>
      <c r="AD10" s="416">
        <f t="shared" si="3"/>
        <v>0</v>
      </c>
      <c r="AE10" s="416">
        <f t="shared" si="3"/>
        <v>0</v>
      </c>
      <c r="AF10" s="416">
        <f t="shared" si="3"/>
        <v>0</v>
      </c>
      <c r="AG10" s="401">
        <f>AU10</f>
        <v>2500</v>
      </c>
      <c r="AH10" s="405">
        <f>Y10*BT10*0.5+AE10*BT10</f>
        <v>2908.0349999999999</v>
      </c>
      <c r="AI10" s="436">
        <f>U10*$U$8</f>
        <v>0</v>
      </c>
      <c r="AJ10" s="436">
        <f>V10*$V$8</f>
        <v>0</v>
      </c>
      <c r="AK10" s="436">
        <f>W10*$W$8</f>
        <v>0</v>
      </c>
      <c r="AL10" s="436">
        <f>X10*$X$8</f>
        <v>0</v>
      </c>
      <c r="AM10" s="436">
        <f>Y10*$Y$8</f>
        <v>2500</v>
      </c>
      <c r="AN10" s="436">
        <f>Z10*$Z$8</f>
        <v>0</v>
      </c>
      <c r="AO10" s="436">
        <f>AA10*$AA$8</f>
        <v>0</v>
      </c>
      <c r="AP10" s="436">
        <f>AB10*$AB$8</f>
        <v>0</v>
      </c>
      <c r="AQ10" s="436">
        <f>AC10*$AC$8</f>
        <v>0</v>
      </c>
      <c r="AR10" s="436">
        <f>AD10*$AD$8</f>
        <v>0</v>
      </c>
      <c r="AS10" s="436">
        <f>AE10*$AE$8</f>
        <v>0</v>
      </c>
      <c r="AT10" s="436">
        <f>AF10*$AF$8</f>
        <v>0</v>
      </c>
      <c r="AU10" s="436">
        <f>SUM(AI10:AT10)</f>
        <v>2500</v>
      </c>
      <c r="AV10" s="436"/>
      <c r="AW10" s="436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1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IF(AND(BL10&gt;2500,BL10&lt;=BC5),BM10+1,BM10)</f>
        <v>0</v>
      </c>
      <c r="BK10" s="143">
        <v>0</v>
      </c>
      <c r="BL10" s="185">
        <f>$N$10-$BC$5*BM10</f>
        <v>1198</v>
      </c>
      <c r="BM10" s="141">
        <f>INT($N$10/$BC$5)</f>
        <v>0</v>
      </c>
      <c r="BN10" s="141"/>
      <c r="BO10" s="141"/>
      <c r="BP10" s="141"/>
      <c r="BQ10" s="141"/>
      <c r="BR10" s="141"/>
      <c r="BS10" s="3"/>
      <c r="BT10" s="3">
        <f t="array" ref="BT10">IFERROR(INDEX(Цены!J:J,MATCH(J10&amp;$E$7,Цены!C:C&amp;Цены!G:G,0)),Цены!J33)</f>
        <v>5816.07</v>
      </c>
      <c r="BV10" s="48">
        <v>2</v>
      </c>
      <c r="CE10" s="1" t="s">
        <v>453</v>
      </c>
    </row>
    <row r="11" spans="1:83" ht="25.05" customHeight="1" x14ac:dyDescent="0.3">
      <c r="B11" s="555" t="s">
        <v>158</v>
      </c>
      <c r="C11" s="556"/>
      <c r="D11" s="556"/>
      <c r="E11" s="633" t="s">
        <v>129</v>
      </c>
      <c r="F11" s="514"/>
      <c r="G11" s="514"/>
      <c r="H11" s="515"/>
      <c r="J11" s="22" t="s">
        <v>512</v>
      </c>
      <c r="K11" s="235" t="s">
        <v>214</v>
      </c>
      <c r="L11" s="128">
        <f>IF(E8=BV5,L10,0)</f>
        <v>0</v>
      </c>
      <c r="M11" s="129">
        <f>IF(E8=BV5,1,0)</f>
        <v>0</v>
      </c>
      <c r="N11" s="401">
        <f t="shared" ref="N11:N13" si="4">L11*M11</f>
        <v>0</v>
      </c>
      <c r="O11" s="339">
        <f>CEILING((L11*M11)/5400,1)</f>
        <v>0</v>
      </c>
      <c r="P11" s="269"/>
      <c r="Q11" s="269"/>
      <c r="R11" s="260">
        <f t="shared" si="0"/>
        <v>0</v>
      </c>
      <c r="S11" s="274"/>
      <c r="T11" s="420" t="str">
        <f t="shared" si="2"/>
        <v>направляющая верхняя однополозная</v>
      </c>
      <c r="U11" s="416">
        <f>IF($Z$3=$CE$21,AZ11,IF($Z$3=$CE$27,AZ37,IF($Z$3=$CE$28,AZ50,AZ24)))</f>
        <v>0</v>
      </c>
      <c r="V11" s="416">
        <f t="shared" ref="V11:AF15" si="5">IF($Z$3=$CE$21,BA11,IF($Z$3=$CE$27,BA37,IF($Z$3=$CE$28,BA50,BA24)))</f>
        <v>0</v>
      </c>
      <c r="W11" s="416">
        <f t="shared" si="5"/>
        <v>0</v>
      </c>
      <c r="X11" s="416">
        <f t="shared" si="5"/>
        <v>0</v>
      </c>
      <c r="Y11" s="416">
        <f t="shared" si="5"/>
        <v>0</v>
      </c>
      <c r="Z11" s="416">
        <f t="shared" si="5"/>
        <v>0</v>
      </c>
      <c r="AA11" s="416">
        <f t="shared" si="5"/>
        <v>0</v>
      </c>
      <c r="AB11" s="416">
        <f t="shared" si="5"/>
        <v>0</v>
      </c>
      <c r="AC11" s="416">
        <f t="shared" si="5"/>
        <v>0</v>
      </c>
      <c r="AD11" s="416">
        <f t="shared" si="5"/>
        <v>0</v>
      </c>
      <c r="AE11" s="416">
        <f t="shared" si="5"/>
        <v>0</v>
      </c>
      <c r="AF11" s="416">
        <f t="shared" si="5"/>
        <v>0</v>
      </c>
      <c r="AG11" s="401">
        <f t="shared" ref="AG11:AG15" si="6">AU11</f>
        <v>0</v>
      </c>
      <c r="AH11" s="417">
        <f>(Z11*0.5+AF11)*BT11</f>
        <v>0</v>
      </c>
      <c r="AI11" s="436">
        <f t="shared" ref="AI11:AI15" si="7">U11*$U$8</f>
        <v>0</v>
      </c>
      <c r="AJ11" s="436">
        <f t="shared" ref="AJ11:AJ15" si="8">V11*$V$8</f>
        <v>0</v>
      </c>
      <c r="AK11" s="436">
        <f t="shared" ref="AK11:AK15" si="9">W11*$W$8</f>
        <v>0</v>
      </c>
      <c r="AL11" s="436">
        <f t="shared" ref="AL11:AL15" si="10">X11*$X$8</f>
        <v>0</v>
      </c>
      <c r="AM11" s="436">
        <f t="shared" ref="AM11:AM15" si="11">Y11*$Y$8</f>
        <v>0</v>
      </c>
      <c r="AN11" s="436">
        <f t="shared" ref="AN11:AN15" si="12">Z11*$Z$8</f>
        <v>0</v>
      </c>
      <c r="AO11" s="436">
        <f t="shared" ref="AO11:AO15" si="13">AA11*$AA$8</f>
        <v>0</v>
      </c>
      <c r="AP11" s="436">
        <f t="shared" ref="AP11:AP15" si="14">AB11*$AB$8</f>
        <v>0</v>
      </c>
      <c r="AQ11" s="436">
        <f t="shared" ref="AQ11:AQ15" si="15">AC11*$AC$8</f>
        <v>0</v>
      </c>
      <c r="AR11" s="436">
        <f t="shared" ref="AR11:AR15" si="16">AD11*$AD$8</f>
        <v>0</v>
      </c>
      <c r="AS11" s="436">
        <f t="shared" ref="AS11:AS15" si="17">AE11*$AE$8</f>
        <v>0</v>
      </c>
      <c r="AT11" s="436">
        <f t="shared" ref="AT11:AT15" si="18">AF11*$AF$8</f>
        <v>0</v>
      </c>
      <c r="AU11" s="436">
        <f t="shared" ref="AU11:AU15" si="19">SUM(AI11:AT11)</f>
        <v>0</v>
      </c>
      <c r="AV11" s="446"/>
      <c r="AW11" s="446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3">
        <v>0</v>
      </c>
      <c r="BE11" s="141">
        <f>IF(AND(BL11&gt;0,BL11&lt;=2700),1,0)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IF(AND(BL11&gt;2700,BL11&lt;=BC7),BM11+1,BM11)</f>
        <v>0</v>
      </c>
      <c r="BL11" s="185">
        <f>$N$11-$BC$7*BM11</f>
        <v>0</v>
      </c>
      <c r="BM11" s="141">
        <f>INT($N$11/$BC$7)</f>
        <v>0</v>
      </c>
      <c r="BN11" s="141"/>
      <c r="BO11" s="141"/>
      <c r="BP11" s="188"/>
      <c r="BQ11" s="188"/>
      <c r="BR11" s="188"/>
      <c r="BS11" s="144"/>
      <c r="BT11" s="3">
        <f t="array" ref="BT11">INDEX(Цены!J:J,MATCH(J11&amp;$E$7,Цены!C:C&amp;Цены!G:G,0))</f>
        <v>3483.76</v>
      </c>
      <c r="CE11" s="1" t="s">
        <v>454</v>
      </c>
    </row>
    <row r="12" spans="1:83" ht="25.05" customHeight="1" thickBot="1" x14ac:dyDescent="0.35">
      <c r="B12" s="643" t="s">
        <v>171</v>
      </c>
      <c r="C12" s="644"/>
      <c r="D12" s="644"/>
      <c r="E12" s="634">
        <v>450</v>
      </c>
      <c r="F12" s="635"/>
      <c r="G12" s="635"/>
      <c r="H12" s="636"/>
      <c r="J12" s="22" t="s">
        <v>5</v>
      </c>
      <c r="K12" s="238" t="s">
        <v>191</v>
      </c>
      <c r="L12" s="128">
        <f>IF(E8=BV6,L10,0)</f>
        <v>1198</v>
      </c>
      <c r="M12" s="129">
        <f>IF(E8=BV6,1,0)</f>
        <v>1</v>
      </c>
      <c r="N12" s="401">
        <f t="shared" si="4"/>
        <v>1198</v>
      </c>
      <c r="O12" s="339">
        <f>CEILING((L12*M12)/5000,1)</f>
        <v>1</v>
      </c>
      <c r="P12" s="269"/>
      <c r="Q12" s="269"/>
      <c r="R12" s="260">
        <f t="shared" si="0"/>
        <v>1892.95</v>
      </c>
      <c r="S12" s="255"/>
      <c r="T12" s="420" t="str">
        <f t="shared" si="2"/>
        <v>накладка декоративная</v>
      </c>
      <c r="U12" s="416">
        <f t="shared" ref="U12:U15" si="20">IF($Z$3=$CE$21,AZ12,IF($Z$3=$CE$27,AZ38,IF($Z$3=$CE$28,AZ51,AZ25)))</f>
        <v>0</v>
      </c>
      <c r="V12" s="416">
        <f t="shared" si="5"/>
        <v>0</v>
      </c>
      <c r="W12" s="416">
        <f t="shared" si="5"/>
        <v>0</v>
      </c>
      <c r="X12" s="416">
        <f t="shared" si="5"/>
        <v>0</v>
      </c>
      <c r="Y12" s="416">
        <f t="shared" si="5"/>
        <v>1</v>
      </c>
      <c r="Z12" s="416">
        <f t="shared" si="5"/>
        <v>0</v>
      </c>
      <c r="AA12" s="416">
        <f t="shared" si="5"/>
        <v>0</v>
      </c>
      <c r="AB12" s="416">
        <f t="shared" si="5"/>
        <v>0</v>
      </c>
      <c r="AC12" s="416">
        <f t="shared" si="5"/>
        <v>0</v>
      </c>
      <c r="AD12" s="416">
        <f t="shared" si="5"/>
        <v>0</v>
      </c>
      <c r="AE12" s="416">
        <f t="shared" si="5"/>
        <v>0</v>
      </c>
      <c r="AF12" s="416">
        <f t="shared" si="5"/>
        <v>0</v>
      </c>
      <c r="AG12" s="401">
        <f t="shared" si="6"/>
        <v>2500</v>
      </c>
      <c r="AH12" s="405">
        <f>(Y12*0.5+AE12)*BT12</f>
        <v>946.47500000000002</v>
      </c>
      <c r="AI12" s="436">
        <f t="shared" si="7"/>
        <v>0</v>
      </c>
      <c r="AJ12" s="436">
        <f t="shared" si="8"/>
        <v>0</v>
      </c>
      <c r="AK12" s="436">
        <f t="shared" si="9"/>
        <v>0</v>
      </c>
      <c r="AL12" s="436">
        <f t="shared" si="10"/>
        <v>0</v>
      </c>
      <c r="AM12" s="436">
        <f t="shared" si="11"/>
        <v>2500</v>
      </c>
      <c r="AN12" s="436">
        <f t="shared" si="12"/>
        <v>0</v>
      </c>
      <c r="AO12" s="436">
        <f t="shared" si="13"/>
        <v>0</v>
      </c>
      <c r="AP12" s="436">
        <f t="shared" si="14"/>
        <v>0</v>
      </c>
      <c r="AQ12" s="436">
        <f t="shared" si="15"/>
        <v>0</v>
      </c>
      <c r="AR12" s="436">
        <f t="shared" si="16"/>
        <v>0</v>
      </c>
      <c r="AS12" s="436">
        <f t="shared" si="17"/>
        <v>0</v>
      </c>
      <c r="AT12" s="436">
        <f t="shared" si="18"/>
        <v>0</v>
      </c>
      <c r="AU12" s="436">
        <f t="shared" si="19"/>
        <v>2500</v>
      </c>
      <c r="AV12" s="436"/>
      <c r="AW12" s="436"/>
      <c r="AX12" s="3"/>
      <c r="AY12" s="3"/>
      <c r="AZ12" s="143">
        <v>0</v>
      </c>
      <c r="BA12" s="143">
        <v>0</v>
      </c>
      <c r="BB12" s="143">
        <v>0</v>
      </c>
      <c r="BC12" s="143">
        <v>0</v>
      </c>
      <c r="BD12" s="141">
        <f>IF(AND(BL12&gt;0,BL12&lt;=2500),1,0)</f>
        <v>1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1">
        <f>IF(AND(BL12&gt;2500,BL12&lt;=BC6),BM12+1,BM12)</f>
        <v>0</v>
      </c>
      <c r="BK12" s="143">
        <v>0</v>
      </c>
      <c r="BL12" s="185">
        <f>$N$12-$BC$6*BM12</f>
        <v>1198</v>
      </c>
      <c r="BM12" s="141">
        <f>INT($N$12/$BC$6)</f>
        <v>0</v>
      </c>
      <c r="BN12" s="141"/>
      <c r="BO12" s="141"/>
      <c r="BP12" s="188"/>
      <c r="BQ12" s="188"/>
      <c r="BR12" s="188"/>
      <c r="BS12" s="144"/>
      <c r="BT12" s="3">
        <f t="array" ref="BT12">INDEX(Цены!J:J,MATCH(J12&amp;$E$7,Цены!C:C&amp;Цены!G:G,0))</f>
        <v>1892.95</v>
      </c>
    </row>
    <row r="13" spans="1:83" ht="25.05" customHeight="1" x14ac:dyDescent="0.3">
      <c r="J13" s="22" t="s">
        <v>3</v>
      </c>
      <c r="K13" s="238" t="s">
        <v>252</v>
      </c>
      <c r="L13" s="128">
        <f>K5-78</f>
        <v>511</v>
      </c>
      <c r="M13" s="129">
        <f>IF(E4=0,0,E9*4)</f>
        <v>4</v>
      </c>
      <c r="N13" s="401">
        <f t="shared" si="4"/>
        <v>2044</v>
      </c>
      <c r="O13" s="406">
        <f>BM13+IF(BL13&gt;0,1,0)</f>
        <v>1</v>
      </c>
      <c r="P13" s="269"/>
      <c r="Q13" s="269"/>
      <c r="R13" s="260">
        <f t="shared" si="0"/>
        <v>3267.15</v>
      </c>
      <c r="S13" s="255"/>
      <c r="T13" s="420" t="str">
        <f t="shared" si="2"/>
        <v>рамка верхняя</v>
      </c>
      <c r="U13" s="416">
        <f t="shared" si="20"/>
        <v>0</v>
      </c>
      <c r="V13" s="416">
        <f t="shared" si="5"/>
        <v>0</v>
      </c>
      <c r="W13" s="416">
        <f t="shared" si="5"/>
        <v>0</v>
      </c>
      <c r="X13" s="416">
        <f t="shared" si="5"/>
        <v>0</v>
      </c>
      <c r="Y13" s="416">
        <f t="shared" si="5"/>
        <v>0</v>
      </c>
      <c r="Z13" s="416">
        <f t="shared" si="5"/>
        <v>0</v>
      </c>
      <c r="AA13" s="416">
        <f t="shared" si="5"/>
        <v>1</v>
      </c>
      <c r="AB13" s="416">
        <f t="shared" si="5"/>
        <v>0</v>
      </c>
      <c r="AC13" s="416">
        <f t="shared" si="5"/>
        <v>0</v>
      </c>
      <c r="AD13" s="416">
        <f t="shared" si="5"/>
        <v>0</v>
      </c>
      <c r="AE13" s="416">
        <f t="shared" si="5"/>
        <v>0</v>
      </c>
      <c r="AF13" s="416">
        <f t="shared" si="5"/>
        <v>0</v>
      </c>
      <c r="AG13" s="401">
        <f t="shared" si="6"/>
        <v>3000</v>
      </c>
      <c r="AH13" s="405">
        <f>(U13*0.2+V13*0.25+X13*0.4+Y13*0.5+AA13*0.6+AC13*0.75+AD13*0.8+AE13)*BT13</f>
        <v>1960.29</v>
      </c>
      <c r="AI13" s="436">
        <f t="shared" si="7"/>
        <v>0</v>
      </c>
      <c r="AJ13" s="436">
        <f t="shared" si="8"/>
        <v>0</v>
      </c>
      <c r="AK13" s="436">
        <f t="shared" si="9"/>
        <v>0</v>
      </c>
      <c r="AL13" s="436">
        <f t="shared" si="10"/>
        <v>0</v>
      </c>
      <c r="AM13" s="436">
        <f t="shared" si="11"/>
        <v>0</v>
      </c>
      <c r="AN13" s="436">
        <f t="shared" si="12"/>
        <v>0</v>
      </c>
      <c r="AO13" s="436">
        <f t="shared" si="13"/>
        <v>3000</v>
      </c>
      <c r="AP13" s="436">
        <f t="shared" si="14"/>
        <v>0</v>
      </c>
      <c r="AQ13" s="436">
        <f t="shared" si="15"/>
        <v>0</v>
      </c>
      <c r="AR13" s="436">
        <f t="shared" si="16"/>
        <v>0</v>
      </c>
      <c r="AS13" s="436">
        <f t="shared" si="17"/>
        <v>0</v>
      </c>
      <c r="AT13" s="436">
        <f t="shared" si="18"/>
        <v>0</v>
      </c>
      <c r="AU13" s="436">
        <f t="shared" si="19"/>
        <v>3000</v>
      </c>
      <c r="AV13" s="436"/>
      <c r="AW13" s="436"/>
      <c r="AX13" s="363">
        <v>0.47399999999999998</v>
      </c>
      <c r="AY13" s="3">
        <f>AX13*L13*M13/1000</f>
        <v>0.96885599999999994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0</v>
      </c>
      <c r="BD13" s="143">
        <v>0</v>
      </c>
      <c r="BE13" s="143">
        <v>0</v>
      </c>
      <c r="BF13" s="141">
        <f>IF(AND(BL13&gt;2000,BL13&lt;=3000),1,0)</f>
        <v>1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IF(AND(BL13&gt;4000,BL13&lt;=BC5),BM13+1,BM13)</f>
        <v>0</v>
      </c>
      <c r="BK13" s="143">
        <v>0</v>
      </c>
      <c r="BL13" s="185">
        <f>N13-INT($BC$5/L13)*L13*BM13</f>
        <v>2044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3">
        <f t="array" ref="BT13">INDEX(Цены!J:J,MATCH(J13&amp;$E$7,Цены!C:C&amp;Цены!G:G,0))</f>
        <v>3267.15</v>
      </c>
      <c r="BV13" s="8" t="s">
        <v>10</v>
      </c>
    </row>
    <row r="14" spans="1:83" ht="25.05" customHeight="1" thickBot="1" x14ac:dyDescent="0.35">
      <c r="J14" s="132" t="str">
        <f>E6</f>
        <v>рамка средняя 4в1</v>
      </c>
      <c r="K14" s="238" t="str">
        <f>IF(J14=BY5,BZ5,BZ6)</f>
        <v>FA0716.VP500</v>
      </c>
      <c r="L14" s="128">
        <f>IF(AND(E6=BY6,E5&gt;0),K5-78,IF(AND(E6=BY5,E5&gt;0),K5-76,0))</f>
        <v>511</v>
      </c>
      <c r="M14" s="129">
        <f>E5*2*E9</f>
        <v>2</v>
      </c>
      <c r="N14" s="401">
        <f>L14*M14</f>
        <v>1022</v>
      </c>
      <c r="O14" s="406">
        <f>IF(J14=BY6,BM14+IF(BL14&gt;0,1,0),BP14+IF(BO14&gt;0,1,0))</f>
        <v>1</v>
      </c>
      <c r="P14" s="269"/>
      <c r="Q14" s="269"/>
      <c r="R14" s="285">
        <f t="shared" si="0"/>
        <v>3828.23</v>
      </c>
      <c r="S14" s="255"/>
      <c r="T14" s="420" t="str">
        <f>J14</f>
        <v>рамка средняя 4в1</v>
      </c>
      <c r="U14" s="416">
        <f t="shared" si="20"/>
        <v>0</v>
      </c>
      <c r="V14" s="416">
        <f t="shared" si="5"/>
        <v>0</v>
      </c>
      <c r="W14" s="416">
        <f t="shared" si="5"/>
        <v>0</v>
      </c>
      <c r="X14" s="416">
        <f t="shared" si="5"/>
        <v>1</v>
      </c>
      <c r="Y14" s="416">
        <f t="shared" si="5"/>
        <v>0</v>
      </c>
      <c r="Z14" s="416">
        <f t="shared" si="5"/>
        <v>0</v>
      </c>
      <c r="AA14" s="416">
        <f t="shared" si="5"/>
        <v>0</v>
      </c>
      <c r="AB14" s="416">
        <f t="shared" si="5"/>
        <v>0</v>
      </c>
      <c r="AC14" s="416">
        <f t="shared" si="5"/>
        <v>0</v>
      </c>
      <c r="AD14" s="416">
        <f t="shared" si="5"/>
        <v>0</v>
      </c>
      <c r="AE14" s="416">
        <f t="shared" si="5"/>
        <v>0</v>
      </c>
      <c r="AF14" s="416">
        <f t="shared" si="5"/>
        <v>0</v>
      </c>
      <c r="AG14" s="401">
        <f t="shared" si="6"/>
        <v>2000</v>
      </c>
      <c r="AH14" s="408">
        <f>IF($E$6=$BY$5,AW15,AV15)</f>
        <v>1531.2920000000001</v>
      </c>
      <c r="AI14" s="436">
        <f t="shared" si="7"/>
        <v>0</v>
      </c>
      <c r="AJ14" s="436">
        <f t="shared" si="8"/>
        <v>0</v>
      </c>
      <c r="AK14" s="436">
        <f t="shared" si="9"/>
        <v>0</v>
      </c>
      <c r="AL14" s="436">
        <f t="shared" si="10"/>
        <v>2000</v>
      </c>
      <c r="AM14" s="436">
        <f t="shared" si="11"/>
        <v>0</v>
      </c>
      <c r="AN14" s="436">
        <f t="shared" si="12"/>
        <v>0</v>
      </c>
      <c r="AO14" s="436">
        <f t="shared" si="13"/>
        <v>0</v>
      </c>
      <c r="AP14" s="436">
        <f t="shared" si="14"/>
        <v>0</v>
      </c>
      <c r="AQ14" s="436">
        <f t="shared" si="15"/>
        <v>0</v>
      </c>
      <c r="AR14" s="436">
        <f t="shared" si="16"/>
        <v>0</v>
      </c>
      <c r="AS14" s="436">
        <f t="shared" si="17"/>
        <v>0</v>
      </c>
      <c r="AT14" s="436">
        <f t="shared" si="18"/>
        <v>0</v>
      </c>
      <c r="AU14" s="436">
        <f t="shared" si="19"/>
        <v>2000</v>
      </c>
      <c r="AV14" s="188" t="s">
        <v>259</v>
      </c>
      <c r="AW14" s="189" t="s">
        <v>260</v>
      </c>
      <c r="AX14" s="363">
        <v>0.58499999999999996</v>
      </c>
      <c r="AY14" s="3">
        <f>AX14*L14*M14/1000</f>
        <v>0.59787000000000001</v>
      </c>
      <c r="AZ14" s="190">
        <f>IF(AND(J14=BY6,BL14&gt;0,BL14&lt;=1000),1,0)</f>
        <v>0</v>
      </c>
      <c r="BA14" s="143">
        <v>0</v>
      </c>
      <c r="BB14" s="191">
        <f>IF(AND(J14=BY5,BO14&gt;0,BO14&lt;=1800),1,0)</f>
        <v>0</v>
      </c>
      <c r="BC14" s="190">
        <f>IF(AND(J14=BY6,BL14&gt;1000,BL14&lt;=2000),1,0)</f>
        <v>1</v>
      </c>
      <c r="BD14" s="143">
        <v>0</v>
      </c>
      <c r="BE14" s="191">
        <f>IF(AND(J14=BY5,BO14&gt;1800,BO14&lt;=2700),1,0)</f>
        <v>0</v>
      </c>
      <c r="BF14" s="190">
        <f>IF(AND(J14=BY6,BL14&gt;2000,BL14&lt;=3000),1,0)</f>
        <v>0</v>
      </c>
      <c r="BG14" s="191">
        <f>IF(AND(J14=BY5,BO14&gt;2700,BO14&lt;=3600),1,0)</f>
        <v>0</v>
      </c>
      <c r="BH14" s="143">
        <v>0</v>
      </c>
      <c r="BI14" s="190">
        <f>IF(AND(J14=BY6,BL14&gt;3000,BL14&lt;=4000),1,0)</f>
        <v>0</v>
      </c>
      <c r="BJ14" s="190">
        <f>IF(AND(J14=BY6,BL14&gt;4000,BL14&lt;=BC5),BM14+1,BM14)</f>
        <v>0</v>
      </c>
      <c r="BK14" s="191">
        <f>IF(AND(J14=BY5,BO14&gt;3600,BO14&lt;=BC7),BP14+1,BP14)</f>
        <v>0</v>
      </c>
      <c r="BL14" s="185">
        <f>IF(E5&lt;&gt;0,N14-INT(BC5/L14)*L14*BM14,0)</f>
        <v>1022</v>
      </c>
      <c r="BM14" s="141">
        <f>IF(AND(E6=BY6,E5&lt;&gt;0),INT(M14/INT(BC5/L14)),0)</f>
        <v>0</v>
      </c>
      <c r="BN14" s="141"/>
      <c r="BO14" s="141">
        <f>IF(E5&lt;&gt;0,N14-INT(BC7/L14)*L14*BP14,0)</f>
        <v>1022</v>
      </c>
      <c r="BP14" s="188">
        <f>IF(AND(E6=BY5,E5&lt;&gt;0),INT(M14/INT(BC7/L14)),0)</f>
        <v>0</v>
      </c>
      <c r="BQ14" s="188"/>
      <c r="BR14" s="188"/>
      <c r="BS14" s="144"/>
      <c r="BT14" s="3">
        <f t="array" ref="BT14">INDEX(Цены!J:J,MATCH(J14&amp;$E$7,Цены!C:C&amp;Цены!G:G,0))</f>
        <v>3828.23</v>
      </c>
      <c r="BV14" s="8" t="s">
        <v>11</v>
      </c>
    </row>
    <row r="15" spans="1:83" ht="25.05" customHeight="1" thickBot="1" x14ac:dyDescent="0.4">
      <c r="B15" s="58"/>
      <c r="C15" s="59"/>
      <c r="D15" s="59"/>
      <c r="E15" s="59"/>
      <c r="F15" s="59"/>
      <c r="G15" s="59"/>
      <c r="H15" s="60"/>
      <c r="I15" s="54"/>
      <c r="J15" s="22" t="s">
        <v>17</v>
      </c>
      <c r="K15" s="238" t="s">
        <v>199</v>
      </c>
      <c r="L15" s="128">
        <f>E12</f>
        <v>450</v>
      </c>
      <c r="M15" s="129">
        <f>E9</f>
        <v>1</v>
      </c>
      <c r="N15" s="401">
        <f>L15*M15</f>
        <v>450</v>
      </c>
      <c r="O15" s="406">
        <f>CEILING((L15*M15)/5400,1)</f>
        <v>1</v>
      </c>
      <c r="P15" s="269"/>
      <c r="Q15" s="269"/>
      <c r="R15" s="285">
        <f t="shared" si="0"/>
        <v>1331.09</v>
      </c>
      <c r="S15" s="255"/>
      <c r="T15" s="420" t="str">
        <f>J15</f>
        <v>ручка-рейлинг</v>
      </c>
      <c r="U15" s="416">
        <f t="shared" si="20"/>
        <v>0</v>
      </c>
      <c r="V15" s="416">
        <f t="shared" si="5"/>
        <v>0</v>
      </c>
      <c r="W15" s="416">
        <f t="shared" si="5"/>
        <v>0</v>
      </c>
      <c r="X15" s="416">
        <f t="shared" si="5"/>
        <v>0</v>
      </c>
      <c r="Y15" s="416">
        <f t="shared" si="5"/>
        <v>0</v>
      </c>
      <c r="Z15" s="416">
        <f t="shared" si="5"/>
        <v>1</v>
      </c>
      <c r="AA15" s="416">
        <f t="shared" si="5"/>
        <v>0</v>
      </c>
      <c r="AB15" s="416">
        <f t="shared" si="5"/>
        <v>0</v>
      </c>
      <c r="AC15" s="416">
        <f t="shared" si="5"/>
        <v>0</v>
      </c>
      <c r="AD15" s="416">
        <f t="shared" si="5"/>
        <v>0</v>
      </c>
      <c r="AE15" s="416">
        <f t="shared" si="5"/>
        <v>0</v>
      </c>
      <c r="AF15" s="416">
        <f t="shared" si="5"/>
        <v>0</v>
      </c>
      <c r="AG15" s="401">
        <f t="shared" si="6"/>
        <v>2700</v>
      </c>
      <c r="AH15" s="410">
        <f>(Z15*0.5+AF15)*BT15</f>
        <v>665.54499999999996</v>
      </c>
      <c r="AI15" s="436">
        <f t="shared" si="7"/>
        <v>0</v>
      </c>
      <c r="AJ15" s="436">
        <f t="shared" si="8"/>
        <v>0</v>
      </c>
      <c r="AK15" s="436">
        <f t="shared" si="9"/>
        <v>0</v>
      </c>
      <c r="AL15" s="436">
        <f t="shared" si="10"/>
        <v>0</v>
      </c>
      <c r="AM15" s="436">
        <f t="shared" si="11"/>
        <v>0</v>
      </c>
      <c r="AN15" s="436">
        <f t="shared" si="12"/>
        <v>2700</v>
      </c>
      <c r="AO15" s="436">
        <f t="shared" si="13"/>
        <v>0</v>
      </c>
      <c r="AP15" s="436">
        <f t="shared" si="14"/>
        <v>0</v>
      </c>
      <c r="AQ15" s="436">
        <f t="shared" si="15"/>
        <v>0</v>
      </c>
      <c r="AR15" s="436">
        <f t="shared" si="16"/>
        <v>0</v>
      </c>
      <c r="AS15" s="436">
        <f t="shared" si="17"/>
        <v>0</v>
      </c>
      <c r="AT15" s="436">
        <f t="shared" si="18"/>
        <v>0</v>
      </c>
      <c r="AU15" s="436">
        <f t="shared" si="19"/>
        <v>2700</v>
      </c>
      <c r="AV15" s="256">
        <f>(U14*0.2+V14*0.25+X14*0.4+Y14*0.5+AA14*0.6+AC14*0.75+AD14*0.8+AE14)*BT14</f>
        <v>1531.2920000000001</v>
      </c>
      <c r="AW15" s="256">
        <f>(W14*0.34+Z14*0.5+AB14*0.67+AF14)*BT14</f>
        <v>0</v>
      </c>
      <c r="AX15" s="364">
        <v>0.33600000000000002</v>
      </c>
      <c r="AY15" s="3">
        <f>AX15*L14*M14/1000</f>
        <v>0.34339199999999998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41">
        <f>IF(AND(BO15&gt;0,BO15&lt;=2700),1,0)</f>
        <v>1</v>
      </c>
      <c r="BF15" s="192">
        <v>0</v>
      </c>
      <c r="BG15" s="192">
        <v>0</v>
      </c>
      <c r="BH15" s="192">
        <v>0</v>
      </c>
      <c r="BI15" s="192">
        <v>0</v>
      </c>
      <c r="BJ15" s="192">
        <v>0</v>
      </c>
      <c r="BK15" s="141">
        <f>IF(AND(BO15&gt;2700,BO15&lt;=BC7),BP15+1,BP15)</f>
        <v>0</v>
      </c>
      <c r="BL15" s="185"/>
      <c r="BM15" s="141"/>
      <c r="BN15" s="185"/>
      <c r="BO15" s="185">
        <f>$N$15-$BC$7*BM15</f>
        <v>450</v>
      </c>
      <c r="BP15" s="185">
        <f>INT($N$15/$BC$7)</f>
        <v>0</v>
      </c>
      <c r="BQ15" s="185"/>
      <c r="BR15" s="185"/>
      <c r="BS15" s="5"/>
      <c r="BT15" s="3">
        <f t="array" ref="BT15">IFERROR(INDEX(Цены!J:J,MATCH(J15&amp;$E$7,Цены!C:C&amp;Цены!G:G,0)),Цены!J38)</f>
        <v>1331.09</v>
      </c>
      <c r="BV15" s="8" t="s">
        <v>12</v>
      </c>
    </row>
    <row r="16" spans="1:83" ht="25.05" customHeight="1" thickBot="1" x14ac:dyDescent="0.4">
      <c r="B16" s="61" t="s">
        <v>107</v>
      </c>
      <c r="C16" s="62">
        <f>E5+1</f>
        <v>2</v>
      </c>
      <c r="D16" s="97"/>
      <c r="E16" s="98"/>
      <c r="F16" s="98"/>
      <c r="G16" s="98"/>
      <c r="H16" s="64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26957.45</v>
      </c>
      <c r="S16" s="274"/>
      <c r="T16" s="318"/>
      <c r="U16" s="550" t="s">
        <v>103</v>
      </c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1"/>
      <c r="AH16" s="134">
        <f>SUM(AH9:AH15)</f>
        <v>18833.596999999998</v>
      </c>
      <c r="AI16" s="447"/>
      <c r="AJ16" s="447"/>
      <c r="AK16" s="447"/>
      <c r="AL16" s="447"/>
      <c r="AM16" s="447"/>
      <c r="AN16" s="447"/>
      <c r="AO16" s="447"/>
      <c r="AP16" s="447"/>
      <c r="AQ16" s="447"/>
      <c r="AR16" s="447"/>
      <c r="AS16" s="447"/>
      <c r="AT16" s="447"/>
      <c r="AU16" s="447"/>
      <c r="AV16" s="447"/>
      <c r="AW16" s="447"/>
      <c r="AX16" s="367">
        <v>0.16900000000000001</v>
      </c>
      <c r="AY16" s="3">
        <f>AX16*L15*M15/1000</f>
        <v>7.6050000000000006E-2</v>
      </c>
      <c r="BL16" s="614" t="s">
        <v>519</v>
      </c>
      <c r="BM16" s="614"/>
      <c r="BN16" s="4"/>
      <c r="BO16" s="615" t="s">
        <v>443</v>
      </c>
      <c r="BP16" s="615"/>
    </row>
    <row r="17" spans="2:83" ht="25.05" customHeight="1" thickBot="1" x14ac:dyDescent="0.35">
      <c r="B17" s="66"/>
      <c r="C17" s="67"/>
      <c r="D17" s="67"/>
      <c r="E17" s="67"/>
      <c r="F17" s="67"/>
      <c r="G17" s="67"/>
      <c r="H17" s="68"/>
      <c r="I17" s="76"/>
      <c r="J17" s="12"/>
      <c r="K17" s="6"/>
      <c r="L17" s="6"/>
      <c r="M17" s="6"/>
      <c r="N17" s="6"/>
      <c r="O17" s="13"/>
      <c r="S17" s="278"/>
      <c r="AY17" s="54">
        <f>IF(E6=BY5,AY9+AY13+AY15+AY16,AY9+AY13+AY14+AY16)</f>
        <v>8.6062560000000001</v>
      </c>
      <c r="AZ17" s="422"/>
      <c r="BA17" s="54" t="s">
        <v>515</v>
      </c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CC17" s="1" t="b">
        <v>1</v>
      </c>
    </row>
    <row r="18" spans="2:83" ht="25.05" customHeight="1" thickBot="1" x14ac:dyDescent="0.35">
      <c r="B18" s="66"/>
      <c r="C18" s="67"/>
      <c r="D18" s="67"/>
      <c r="E18" s="67"/>
      <c r="F18" s="67"/>
      <c r="G18" s="67"/>
      <c r="H18" s="68"/>
      <c r="I18" s="76"/>
      <c r="J18" s="12"/>
      <c r="K18" s="6"/>
      <c r="L18" s="6"/>
      <c r="M18" s="6"/>
      <c r="N18" s="6"/>
      <c r="O18" s="13"/>
      <c r="R18" s="327"/>
      <c r="U18" s="6"/>
      <c r="V18" s="6"/>
      <c r="W18" s="6"/>
      <c r="X18" s="6"/>
      <c r="Y18" s="6"/>
      <c r="Z18" s="6"/>
      <c r="AA18" s="6"/>
      <c r="AB18" s="6"/>
      <c r="AC18" s="646" t="s">
        <v>102</v>
      </c>
      <c r="AD18" s="646"/>
      <c r="AE18" s="646"/>
      <c r="AF18" s="646"/>
      <c r="AG18" s="646"/>
      <c r="AH18" s="263">
        <f>AH16+H25+R39</f>
        <v>24281.446999999996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3"/>
      <c r="AY18" s="289">
        <f>AY17/E9</f>
        <v>8.6062560000000001</v>
      </c>
      <c r="AZ18" s="423"/>
      <c r="BA18" s="3" t="s">
        <v>516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V18" s="1" t="s">
        <v>85</v>
      </c>
    </row>
    <row r="19" spans="2:83" ht="25.05" customHeight="1" x14ac:dyDescent="0.3">
      <c r="B19" s="69" t="s">
        <v>108</v>
      </c>
      <c r="C19" s="328" t="s">
        <v>109</v>
      </c>
      <c r="D19" s="70" t="s">
        <v>78</v>
      </c>
      <c r="E19" s="328" t="s">
        <v>110</v>
      </c>
      <c r="F19" s="328" t="s">
        <v>111</v>
      </c>
      <c r="G19" s="328" t="s">
        <v>127</v>
      </c>
      <c r="H19" s="71" t="s">
        <v>128</v>
      </c>
      <c r="J19" s="12"/>
      <c r="K19" s="6"/>
      <c r="L19" s="6"/>
      <c r="M19" s="6"/>
      <c r="N19" s="6"/>
      <c r="O19" s="13"/>
      <c r="R19" s="327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BE19" s="241" t="s">
        <v>424</v>
      </c>
      <c r="BV19" s="1" t="s">
        <v>86</v>
      </c>
      <c r="CC19" s="1" t="b">
        <v>1</v>
      </c>
    </row>
    <row r="20" spans="2:83" ht="25.05" customHeight="1" thickBot="1" x14ac:dyDescent="0.35">
      <c r="B20" s="72" t="s">
        <v>112</v>
      </c>
      <c r="C20" s="15" t="s">
        <v>12</v>
      </c>
      <c r="D20" s="95">
        <v>0</v>
      </c>
      <c r="E20" s="16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2468</v>
      </c>
      <c r="F20" s="73">
        <f>IF(C20=$BV$15,$K$5-63,IF(C20=$BV$14,$K$5-62,$K$5-60))</f>
        <v>526</v>
      </c>
      <c r="G20" s="74">
        <f>$E$9*2</f>
        <v>2</v>
      </c>
      <c r="H20" s="75">
        <f>E20*F20*D20*G20/1000000</f>
        <v>0</v>
      </c>
      <c r="J20" s="640" t="s">
        <v>180</v>
      </c>
      <c r="K20" s="594"/>
      <c r="L20" s="594"/>
      <c r="M20" s="400"/>
      <c r="N20" s="6"/>
      <c r="O20" s="13"/>
      <c r="R20" s="327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34"/>
      <c r="AJ20" s="434"/>
      <c r="AK20" s="434"/>
      <c r="AL20" s="434"/>
      <c r="AM20" s="434"/>
      <c r="AN20" s="434"/>
      <c r="AO20" s="434"/>
      <c r="AP20" s="434"/>
      <c r="AQ20" s="434"/>
      <c r="AR20" s="434"/>
      <c r="AS20" s="434"/>
      <c r="AT20" s="434"/>
      <c r="AU20" s="434"/>
      <c r="AV20" s="434"/>
      <c r="AW20" s="434"/>
      <c r="AX20" s="6"/>
      <c r="BX20" s="301">
        <f>IF(E20&lt;&gt;0,1,0)</f>
        <v>1</v>
      </c>
    </row>
    <row r="21" spans="2:83" ht="25.05" customHeight="1" x14ac:dyDescent="0.3">
      <c r="B21" s="72" t="s">
        <v>113</v>
      </c>
      <c r="C21" s="15" t="s">
        <v>10</v>
      </c>
      <c r="D21" s="95">
        <v>0</v>
      </c>
      <c r="E21" s="17">
        <v>0</v>
      </c>
      <c r="F21" s="73">
        <f>IF(C21=$BV$15,$K$5-63,IF(C21=$BV$14,$K$5-62,$K$5-60))</f>
        <v>529</v>
      </c>
      <c r="G21" s="74">
        <f>IF(E21&lt;&gt;0,$E$9*2,0)</f>
        <v>0</v>
      </c>
      <c r="H21" s="75">
        <f t="shared" ref="H21:H24" si="21">E21*F21*D21*G21/1000000</f>
        <v>0</v>
      </c>
      <c r="J21" s="590" t="s">
        <v>0</v>
      </c>
      <c r="K21" s="591"/>
      <c r="L21" s="591"/>
      <c r="M21" s="591"/>
      <c r="N21" s="396" t="s">
        <v>1</v>
      </c>
      <c r="O21" s="239" t="s">
        <v>8</v>
      </c>
      <c r="P21" s="140"/>
      <c r="Q21" s="140"/>
      <c r="R21" s="261" t="s">
        <v>24</v>
      </c>
      <c r="S21" s="140"/>
      <c r="T21" s="116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9"/>
      <c r="AH21" s="303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6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X21" s="301">
        <f>IF(E21&lt;&gt;0,1,0)</f>
        <v>0</v>
      </c>
      <c r="CE21" s="1" t="s">
        <v>418</v>
      </c>
    </row>
    <row r="22" spans="2:83" ht="25.05" customHeight="1" x14ac:dyDescent="0.3">
      <c r="B22" s="72" t="s">
        <v>114</v>
      </c>
      <c r="C22" s="15" t="s">
        <v>10</v>
      </c>
      <c r="D22" s="95">
        <v>0</v>
      </c>
      <c r="E22" s="17">
        <v>0</v>
      </c>
      <c r="F22" s="73">
        <f>IF(C22=$BV$15,$K$5-63,IF(C22=$BV$14,$K$5-62,$K$5-60))</f>
        <v>529</v>
      </c>
      <c r="G22" s="74">
        <f>IF(E22&lt;&gt;0,$E$9*2,0)</f>
        <v>0</v>
      </c>
      <c r="H22" s="75">
        <f t="shared" si="21"/>
        <v>0</v>
      </c>
      <c r="J22" s="561" t="s">
        <v>66</v>
      </c>
      <c r="K22" s="562"/>
      <c r="L22" s="562"/>
      <c r="M22" s="562"/>
      <c r="N22" s="236" t="s">
        <v>208</v>
      </c>
      <c r="O22" s="232">
        <f>E9</f>
        <v>1</v>
      </c>
      <c r="P22" s="251"/>
      <c r="Q22" s="251"/>
      <c r="R22" s="262">
        <f>O22*Цены!J152</f>
        <v>748.1</v>
      </c>
      <c r="S22" s="243"/>
      <c r="T22" s="309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49"/>
      <c r="AG22" s="274"/>
      <c r="AH22" s="274"/>
      <c r="AI22" s="446"/>
      <c r="AJ22" s="446"/>
      <c r="AK22" s="446"/>
      <c r="AL22" s="446"/>
      <c r="AM22" s="446"/>
      <c r="AN22" s="446"/>
      <c r="AO22" s="446"/>
      <c r="AP22" s="446"/>
      <c r="AQ22" s="446"/>
      <c r="AR22" s="446"/>
      <c r="AS22" s="446"/>
      <c r="AT22" s="446"/>
      <c r="AU22" s="446"/>
      <c r="AV22" s="446"/>
      <c r="AW22" s="446"/>
      <c r="AX22" s="6"/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316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X22" s="301">
        <f>IF(E22&lt;&gt;0,1,0)</f>
        <v>0</v>
      </c>
      <c r="CE22" s="1" t="s">
        <v>423</v>
      </c>
    </row>
    <row r="23" spans="2:83" ht="25.05" customHeight="1" x14ac:dyDescent="0.3">
      <c r="B23" s="72" t="s">
        <v>115</v>
      </c>
      <c r="C23" s="15" t="s">
        <v>12</v>
      </c>
      <c r="D23" s="95">
        <v>0</v>
      </c>
      <c r="E23" s="17">
        <v>0</v>
      </c>
      <c r="F23" s="73">
        <f>IF(C23=$BV$15,$K$5-63,IF(C23=$BV$14,$K$5-62,$K$5-60))</f>
        <v>526</v>
      </c>
      <c r="G23" s="74">
        <f>IF(E23&lt;&gt;0,$E$9*2,0)</f>
        <v>0</v>
      </c>
      <c r="H23" s="75">
        <f t="shared" si="21"/>
        <v>0</v>
      </c>
      <c r="J23" s="561" t="s">
        <v>58</v>
      </c>
      <c r="K23" s="562"/>
      <c r="L23" s="562"/>
      <c r="M23" s="562"/>
      <c r="N23" s="236" t="s">
        <v>209</v>
      </c>
      <c r="O23" s="232">
        <f>E9</f>
        <v>1</v>
      </c>
      <c r="P23" s="251"/>
      <c r="Q23" s="251"/>
      <c r="R23" s="262">
        <f>O23*Цены!J138</f>
        <v>716</v>
      </c>
      <c r="S23" s="243"/>
      <c r="T23" s="30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428"/>
      <c r="AH23" s="426"/>
      <c r="AI23" s="436"/>
      <c r="AJ23" s="436"/>
      <c r="AK23" s="436"/>
      <c r="AL23" s="436"/>
      <c r="AM23" s="436"/>
      <c r="AN23" s="436"/>
      <c r="AO23" s="436"/>
      <c r="AP23" s="436"/>
      <c r="AQ23" s="436"/>
      <c r="AR23" s="436"/>
      <c r="AS23" s="436"/>
      <c r="AT23" s="436"/>
      <c r="AU23" s="436"/>
      <c r="AV23" s="436"/>
      <c r="AW23" s="436"/>
      <c r="AX23" s="6"/>
      <c r="AZ23" s="143">
        <v>0</v>
      </c>
      <c r="BA23" s="143">
        <v>0</v>
      </c>
      <c r="BB23" s="143">
        <v>0</v>
      </c>
      <c r="BC23" s="143">
        <v>0</v>
      </c>
      <c r="BD23" s="141">
        <f>IF(AND(BL23&gt;0,BL23&lt;=2500),1,0)</f>
        <v>1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IF(AND(BL23&gt;2500,BL23&lt;=BC5),BM23+1,BM23)</f>
        <v>0</v>
      </c>
      <c r="BK23" s="143">
        <v>0</v>
      </c>
      <c r="BL23" s="185">
        <f>BL10</f>
        <v>1198</v>
      </c>
      <c r="BM23" s="185">
        <f>BM10</f>
        <v>0</v>
      </c>
      <c r="BN23" s="141"/>
      <c r="BO23" s="141"/>
      <c r="BP23" s="141"/>
      <c r="BQ23" s="141"/>
      <c r="BR23" s="141"/>
      <c r="BS23" s="3"/>
      <c r="BT23" s="3"/>
      <c r="BX23" s="301">
        <f>IF(E23&lt;&gt;0,1,0)</f>
        <v>0</v>
      </c>
      <c r="CE23" s="1" t="s">
        <v>420</v>
      </c>
    </row>
    <row r="24" spans="2:83" ht="25.05" customHeight="1" thickBot="1" x14ac:dyDescent="0.35">
      <c r="B24" s="80" t="s">
        <v>116</v>
      </c>
      <c r="C24" s="15" t="s">
        <v>12</v>
      </c>
      <c r="D24" s="95">
        <v>0</v>
      </c>
      <c r="E24" s="17">
        <v>0</v>
      </c>
      <c r="F24" s="73">
        <f>IF(C24=$BV$15,$K$5-63,IF(C24=$BV$14,$K$5-62,$K$5-60))</f>
        <v>526</v>
      </c>
      <c r="G24" s="74">
        <f>IF(E24&lt;&gt;0,$E$9*2,0)</f>
        <v>0</v>
      </c>
      <c r="H24" s="75">
        <f t="shared" si="21"/>
        <v>0</v>
      </c>
      <c r="J24" s="561" t="s">
        <v>88</v>
      </c>
      <c r="K24" s="562"/>
      <c r="L24" s="562"/>
      <c r="M24" s="562"/>
      <c r="N24" s="236" t="s">
        <v>210</v>
      </c>
      <c r="O24" s="232">
        <f>IF(AND(E9=BV9,E10=BV19),1,IF(E9=BV10,1,0))</f>
        <v>0</v>
      </c>
      <c r="P24" s="251"/>
      <c r="Q24" s="251"/>
      <c r="R24" s="262">
        <f>O24*Цены!J139</f>
        <v>0</v>
      </c>
      <c r="S24" s="243"/>
      <c r="T24" s="30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428"/>
      <c r="AH24" s="274"/>
      <c r="AI24" s="446"/>
      <c r="AJ24" s="446"/>
      <c r="AK24" s="446"/>
      <c r="AL24" s="446"/>
      <c r="AM24" s="446"/>
      <c r="AN24" s="446"/>
      <c r="AO24" s="446"/>
      <c r="AP24" s="446"/>
      <c r="AQ24" s="446"/>
      <c r="AR24" s="446"/>
      <c r="AS24" s="446"/>
      <c r="AT24" s="446"/>
      <c r="AU24" s="446"/>
      <c r="AV24" s="446"/>
      <c r="AW24" s="446"/>
      <c r="AX24" s="6"/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1">
        <f>IF(AND(BL24&gt;0,BL24&lt;=2700),1,0)</f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1">
        <f>IF(AND(BL24&gt;2700,BL24&lt;=BC7),BM24+1,BM24)</f>
        <v>0</v>
      </c>
      <c r="BL24" s="185">
        <f t="shared" ref="BL24:BM26" si="22">BL11</f>
        <v>0</v>
      </c>
      <c r="BM24" s="185">
        <f t="shared" si="22"/>
        <v>0</v>
      </c>
      <c r="BN24" s="141"/>
      <c r="BO24" s="141"/>
      <c r="BP24" s="188"/>
      <c r="BQ24" s="188"/>
      <c r="BR24" s="188"/>
      <c r="BS24" s="144"/>
      <c r="BT24" s="144"/>
      <c r="BX24" s="301">
        <f>IF(E24&lt;&gt;0,1,0)</f>
        <v>0</v>
      </c>
      <c r="CE24" s="1" t="s">
        <v>421</v>
      </c>
    </row>
    <row r="25" spans="2:83" ht="25.05" customHeight="1" thickBot="1" x14ac:dyDescent="0.35">
      <c r="B25" s="66"/>
      <c r="C25" s="99"/>
      <c r="D25" s="67"/>
      <c r="E25" s="572" t="s">
        <v>79</v>
      </c>
      <c r="F25" s="572"/>
      <c r="G25" s="573"/>
      <c r="H25" s="323">
        <f>SUM(H20:H24)</f>
        <v>0</v>
      </c>
      <c r="I25" s="54"/>
      <c r="J25" s="561" t="s">
        <v>87</v>
      </c>
      <c r="K25" s="562"/>
      <c r="L25" s="562"/>
      <c r="M25" s="562"/>
      <c r="N25" s="236" t="s">
        <v>211</v>
      </c>
      <c r="O25" s="232">
        <f>IF(AND(E9=BV9,E10=BV18),1,IF(E9=BV10,1,0))</f>
        <v>1</v>
      </c>
      <c r="P25" s="251"/>
      <c r="Q25" s="251"/>
      <c r="R25" s="262">
        <f>O25*Цены!J139</f>
        <v>487.37</v>
      </c>
      <c r="S25" s="243"/>
      <c r="T25" s="30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8"/>
      <c r="AH25" s="426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  <c r="AV25" s="436"/>
      <c r="AW25" s="436"/>
      <c r="AX25" s="6"/>
      <c r="AZ25" s="143">
        <v>0</v>
      </c>
      <c r="BA25" s="143">
        <v>0</v>
      </c>
      <c r="BB25" s="143">
        <v>0</v>
      </c>
      <c r="BC25" s="143">
        <v>0</v>
      </c>
      <c r="BD25" s="141">
        <f>IF(AND(BL25&gt;0,BL25&lt;=2500),1,0)</f>
        <v>1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1">
        <f>IF(AND(BL25&gt;2500,BL25&lt;=BC6),BM25+1,BM25)</f>
        <v>0</v>
      </c>
      <c r="BK25" s="143">
        <v>0</v>
      </c>
      <c r="BL25" s="185">
        <f t="shared" si="22"/>
        <v>1198</v>
      </c>
      <c r="BM25" s="185">
        <f t="shared" si="22"/>
        <v>0</v>
      </c>
      <c r="BN25" s="141"/>
      <c r="BO25" s="141"/>
      <c r="BP25" s="188"/>
      <c r="BQ25" s="188"/>
      <c r="BR25" s="188"/>
      <c r="BS25" s="144"/>
      <c r="BT25" s="144"/>
      <c r="CE25" s="1" t="s">
        <v>422</v>
      </c>
    </row>
    <row r="26" spans="2:83" ht="25.05" customHeight="1" x14ac:dyDescent="0.3">
      <c r="B26" s="66"/>
      <c r="C26" s="637" t="str">
        <f>IF((SUM(BX20:BX24)/C16)&lt;&gt;1,BV39,BV40)</f>
        <v>Неверно внесены высоты вставок</v>
      </c>
      <c r="D26" s="637"/>
      <c r="E26" s="329">
        <f>IF(C26=BV40,1,0)</f>
        <v>0</v>
      </c>
      <c r="F26" s="329"/>
      <c r="G26" s="329"/>
      <c r="H26" s="68"/>
      <c r="I26" s="54"/>
      <c r="J26" s="561" t="s">
        <v>60</v>
      </c>
      <c r="K26" s="562"/>
      <c r="L26" s="562"/>
      <c r="M26" s="562"/>
      <c r="N26" s="236" t="s">
        <v>212</v>
      </c>
      <c r="O26" s="232">
        <f>E9*2</f>
        <v>2</v>
      </c>
      <c r="P26" s="251"/>
      <c r="Q26" s="251"/>
      <c r="R26" s="262">
        <f>O26*Цены!J145</f>
        <v>1131.2</v>
      </c>
      <c r="S26" s="243"/>
      <c r="T26" s="30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8"/>
      <c r="AH26" s="426"/>
      <c r="AI26" s="436"/>
      <c r="AJ26" s="436"/>
      <c r="AK26" s="436"/>
      <c r="AL26" s="436"/>
      <c r="AM26" s="436"/>
      <c r="AN26" s="436"/>
      <c r="AO26" s="436"/>
      <c r="AP26" s="436"/>
      <c r="AQ26" s="436"/>
      <c r="AR26" s="436"/>
      <c r="AS26" s="436"/>
      <c r="AT26" s="436"/>
      <c r="AU26" s="436"/>
      <c r="AV26" s="436"/>
      <c r="AW26" s="436"/>
      <c r="AX26" s="6"/>
      <c r="AZ26" s="143">
        <v>0</v>
      </c>
      <c r="BA26" s="141">
        <f>IF(AND(BL26&gt;0,BL26&lt;=1250),1,0)</f>
        <v>0</v>
      </c>
      <c r="BB26" s="143">
        <v>0</v>
      </c>
      <c r="BC26" s="143">
        <v>0</v>
      </c>
      <c r="BD26" s="141">
        <f>IF(AND(BL26&gt;1250,BL26&lt;=2500),1,0)</f>
        <v>1</v>
      </c>
      <c r="BE26" s="143">
        <v>0</v>
      </c>
      <c r="BF26" s="143">
        <v>0</v>
      </c>
      <c r="BG26" s="143">
        <v>0</v>
      </c>
      <c r="BH26" s="141">
        <f>IF(AND(BL26&gt;2500,BL26&lt;=3750),1,0)</f>
        <v>0</v>
      </c>
      <c r="BI26" s="143">
        <v>0</v>
      </c>
      <c r="BJ26" s="141">
        <f>IF(AND(BL26&gt;3750,BL26&lt;=BC5),BM26+1,BM26)</f>
        <v>0</v>
      </c>
      <c r="BK26" s="143">
        <v>0</v>
      </c>
      <c r="BL26" s="185">
        <f t="shared" si="22"/>
        <v>2044</v>
      </c>
      <c r="BM26" s="185">
        <f t="shared" si="22"/>
        <v>0</v>
      </c>
      <c r="BN26" s="141"/>
      <c r="BO26" s="141"/>
      <c r="BP26" s="188"/>
      <c r="BQ26" s="188"/>
      <c r="BR26" s="189"/>
      <c r="BS26" s="152"/>
      <c r="BT26" s="152"/>
      <c r="CE26" s="1" t="s">
        <v>419</v>
      </c>
    </row>
    <row r="27" spans="2:83" ht="25.05" customHeight="1" x14ac:dyDescent="0.3">
      <c r="B27" s="66"/>
      <c r="C27" s="67"/>
      <c r="D27" s="67"/>
      <c r="E27" s="67"/>
      <c r="F27" s="67"/>
      <c r="G27" s="67"/>
      <c r="H27" s="68"/>
      <c r="I27" s="54"/>
      <c r="J27" s="561" t="s">
        <v>71</v>
      </c>
      <c r="K27" s="562"/>
      <c r="L27" s="562"/>
      <c r="M27" s="562"/>
      <c r="N27" s="236" t="s">
        <v>201</v>
      </c>
      <c r="O27" s="284">
        <f>E9</f>
        <v>1</v>
      </c>
      <c r="P27" s="270"/>
      <c r="Q27" s="270"/>
      <c r="R27" s="287">
        <f>O27*Цены!J158</f>
        <v>235.89</v>
      </c>
      <c r="S27" s="273"/>
      <c r="T27" s="30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8"/>
      <c r="AH27" s="426"/>
      <c r="AI27" s="436"/>
      <c r="AJ27" s="436"/>
      <c r="AK27" s="436"/>
      <c r="AL27" s="436"/>
      <c r="AM27" s="436"/>
      <c r="AN27" s="436"/>
      <c r="AO27" s="436"/>
      <c r="AP27" s="436"/>
      <c r="AQ27" s="436"/>
      <c r="AR27" s="436"/>
      <c r="AS27" s="436"/>
      <c r="AT27" s="436"/>
      <c r="AU27" s="436"/>
      <c r="AV27" s="436"/>
      <c r="AW27" s="436"/>
      <c r="AX27" s="6"/>
      <c r="AZ27" s="143">
        <v>0</v>
      </c>
      <c r="BA27" s="190">
        <f>IF(AND(J14=BY6,BL27&gt;0,BL27&lt;=1250),1,0)</f>
        <v>1</v>
      </c>
      <c r="BB27" s="191">
        <f>IF(AND(J14=BY5,BO27&gt;0,BO27&lt;=1800),1,0)</f>
        <v>0</v>
      </c>
      <c r="BC27" s="143">
        <v>0</v>
      </c>
      <c r="BD27" s="190">
        <f>IF(AND(J14=BY6,BL27&gt;1250,BL27&lt;=2500),1,0)</f>
        <v>0</v>
      </c>
      <c r="BE27" s="191">
        <f>IF(AND(J14=BY5,BO27&gt;1800,BO27&lt;=2700),1,0)</f>
        <v>0</v>
      </c>
      <c r="BF27" s="143">
        <v>0</v>
      </c>
      <c r="BG27" s="191">
        <f>IF(AND(J14=BY5,BO27&gt;2700,BO27&lt;=3600),1,0)</f>
        <v>0</v>
      </c>
      <c r="BH27" s="190">
        <f>IF(AND(J14=BY6,BL27&gt;2500,BL27&lt;=3750),1,0)</f>
        <v>0</v>
      </c>
      <c r="BI27" s="143">
        <v>0</v>
      </c>
      <c r="BJ27" s="190">
        <f>IF(AND(J14=BY6,,BL27&gt;3750,BL27&lt;=BC5),BM27+1,BM27)</f>
        <v>0</v>
      </c>
      <c r="BK27" s="191">
        <f>IF(AND(J14=BY5,BO27&gt;3600,BO27&lt;=BC7),BP27+1,BP27)</f>
        <v>0</v>
      </c>
      <c r="BL27" s="185">
        <f>BL14</f>
        <v>1022</v>
      </c>
      <c r="BM27" s="185">
        <f>BM14</f>
        <v>0</v>
      </c>
      <c r="BN27" s="141"/>
      <c r="BO27" s="141">
        <f>BO14</f>
        <v>1022</v>
      </c>
      <c r="BP27" s="141">
        <f>BP14</f>
        <v>0</v>
      </c>
      <c r="BQ27" s="188"/>
      <c r="BR27" s="188"/>
      <c r="BS27" s="144"/>
      <c r="BT27" s="144"/>
      <c r="CE27" s="1" t="s">
        <v>520</v>
      </c>
    </row>
    <row r="28" spans="2:83" ht="25.05" customHeight="1" x14ac:dyDescent="0.3">
      <c r="B28" s="66"/>
      <c r="C28" s="84"/>
      <c r="D28" s="84"/>
      <c r="E28" s="85"/>
      <c r="F28" s="85"/>
      <c r="G28" s="6"/>
      <c r="H28" s="68"/>
      <c r="I28" s="54"/>
      <c r="J28" s="561" t="s">
        <v>40</v>
      </c>
      <c r="K28" s="562"/>
      <c r="L28" s="562"/>
      <c r="M28" s="562"/>
      <c r="N28" s="236" t="s">
        <v>204</v>
      </c>
      <c r="O28" s="231">
        <f>IF(E12&lt;500,2*E9,E9*ROUNDDOWN(E12/500+1,0))</f>
        <v>2</v>
      </c>
      <c r="P28" s="250"/>
      <c r="Q28" s="250"/>
      <c r="R28" s="287">
        <f>O28*Цены!J102</f>
        <v>892.74</v>
      </c>
      <c r="S28" s="273"/>
      <c r="T28" s="30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8"/>
      <c r="AH28" s="426"/>
      <c r="AI28" s="436"/>
      <c r="AJ28" s="436"/>
      <c r="AK28" s="436"/>
      <c r="AL28" s="436"/>
      <c r="AM28" s="436"/>
      <c r="AN28" s="436"/>
      <c r="AO28" s="436"/>
      <c r="AP28" s="436"/>
      <c r="AQ28" s="436"/>
      <c r="AR28" s="436"/>
      <c r="AS28" s="436"/>
      <c r="AT28" s="436"/>
      <c r="AU28" s="436"/>
      <c r="AV28" s="436"/>
      <c r="AW28" s="436"/>
      <c r="AX28" s="6"/>
      <c r="AZ28" s="192">
        <v>0</v>
      </c>
      <c r="BA28" s="192">
        <v>0</v>
      </c>
      <c r="BB28" s="192">
        <v>0</v>
      </c>
      <c r="BC28" s="192">
        <v>0</v>
      </c>
      <c r="BD28" s="192">
        <v>0</v>
      </c>
      <c r="BE28" s="141">
        <f>IF(AND(BO28&gt;0,BO28&lt;=2700),1,0)</f>
        <v>1</v>
      </c>
      <c r="BF28" s="192">
        <v>0</v>
      </c>
      <c r="BG28" s="192">
        <v>0</v>
      </c>
      <c r="BH28" s="192">
        <v>0</v>
      </c>
      <c r="BI28" s="192">
        <v>0</v>
      </c>
      <c r="BJ28" s="192">
        <v>0</v>
      </c>
      <c r="BK28" s="141">
        <f>IF(AND(BO28&gt;2700,BO28&lt;=BC7),BP28+1,BP28)</f>
        <v>0</v>
      </c>
      <c r="BL28" s="185"/>
      <c r="BM28" s="141"/>
      <c r="BN28" s="185"/>
      <c r="BO28" s="141">
        <f>BO15</f>
        <v>450</v>
      </c>
      <c r="BP28" s="141">
        <f>BP15</f>
        <v>0</v>
      </c>
      <c r="BQ28" s="185"/>
      <c r="BR28" s="185"/>
      <c r="BS28" s="5"/>
      <c r="BT28" s="5"/>
      <c r="CE28" s="1" t="s">
        <v>518</v>
      </c>
    </row>
    <row r="29" spans="2:83" ht="25.05" customHeight="1" x14ac:dyDescent="0.3">
      <c r="B29" s="66"/>
      <c r="C29" s="67"/>
      <c r="D29" s="67"/>
      <c r="E29" s="67"/>
      <c r="F29" s="67"/>
      <c r="G29" s="6"/>
      <c r="H29" s="68"/>
      <c r="I29" s="54"/>
      <c r="J29" s="561" t="s">
        <v>44</v>
      </c>
      <c r="K29" s="562"/>
      <c r="L29" s="562"/>
      <c r="M29" s="562"/>
      <c r="N29" s="236" t="s">
        <v>205</v>
      </c>
      <c r="O29" s="284">
        <f>E9</f>
        <v>1</v>
      </c>
      <c r="P29" s="270"/>
      <c r="Q29" s="270"/>
      <c r="R29" s="287">
        <f>O29*Цены!J106</f>
        <v>93.19</v>
      </c>
      <c r="S29" s="273"/>
      <c r="T29" s="310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278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</row>
    <row r="30" spans="2:83" ht="25.05" customHeight="1" x14ac:dyDescent="0.3">
      <c r="B30" s="66"/>
      <c r="C30" s="638" t="str">
        <f>IF(AND(SUM(BX20:BX24)/C16=1,E24=0,C16&lt;&gt;1),BV43,BV44)</f>
        <v xml:space="preserve"> </v>
      </c>
      <c r="D30" s="638"/>
      <c r="E30" s="85"/>
      <c r="F30" s="85"/>
      <c r="G30" s="6"/>
      <c r="H30" s="68"/>
      <c r="I30" s="54"/>
      <c r="J30" s="561" t="s">
        <v>222</v>
      </c>
      <c r="K30" s="562"/>
      <c r="L30" s="562"/>
      <c r="M30" s="562"/>
      <c r="N30" s="236" t="s">
        <v>192</v>
      </c>
      <c r="O30" s="231">
        <f>(M13+M14)*2-O31</f>
        <v>10</v>
      </c>
      <c r="P30" s="250"/>
      <c r="Q30" s="250"/>
      <c r="R30" s="287">
        <f>O30*Цены!J186</f>
        <v>104</v>
      </c>
      <c r="S30" s="273"/>
      <c r="AX30" s="6"/>
      <c r="AZ30" s="146"/>
      <c r="BA30" s="146"/>
    </row>
    <row r="31" spans="2:83" ht="25.05" customHeight="1" x14ac:dyDescent="0.3">
      <c r="B31" s="66"/>
      <c r="C31" s="67"/>
      <c r="D31" s="67"/>
      <c r="E31" s="67"/>
      <c r="F31" s="67"/>
      <c r="G31" s="6"/>
      <c r="H31" s="68"/>
      <c r="I31" s="54"/>
      <c r="J31" s="561" t="s">
        <v>223</v>
      </c>
      <c r="K31" s="562"/>
      <c r="L31" s="562"/>
      <c r="M31" s="562"/>
      <c r="N31" s="236" t="s">
        <v>213</v>
      </c>
      <c r="O31" s="339">
        <f>E9*2</f>
        <v>2</v>
      </c>
      <c r="P31" s="249"/>
      <c r="Q31" s="249"/>
      <c r="R31" s="407">
        <f>O31*Цены!J157</f>
        <v>16.66</v>
      </c>
      <c r="S31" s="274"/>
      <c r="T31" s="311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Z31" s="146"/>
      <c r="BA31" s="146"/>
    </row>
    <row r="32" spans="2:83" ht="25.05" customHeight="1" x14ac:dyDescent="0.3">
      <c r="B32" s="66"/>
      <c r="C32" s="67"/>
      <c r="D32" s="67"/>
      <c r="E32" s="67"/>
      <c r="F32" s="67"/>
      <c r="G32" s="6"/>
      <c r="H32" s="68"/>
      <c r="I32" s="54"/>
      <c r="J32" s="561" t="s">
        <v>82</v>
      </c>
      <c r="K32" s="562"/>
      <c r="L32" s="562"/>
      <c r="M32" s="562"/>
      <c r="N32" s="236" t="s">
        <v>255</v>
      </c>
      <c r="O32" s="233">
        <f>ROUNDUP((IF(C20=BV14,(E20+F20)*2*G20,0)+IF(C21=BV14,(E21+F21)*2*G21,0)+IF(C22=BV14,(E22+F22)*2*G22,0)+IF(C23=BV14,(E23+F23)*2*G23,0)+IF(C24=BV14,(E24+F24)*2*G24,0))/1000,0)</f>
        <v>0</v>
      </c>
      <c r="P32" s="252"/>
      <c r="Q32" s="252"/>
      <c r="R32" s="287">
        <f>O32*Цены!J179</f>
        <v>0</v>
      </c>
      <c r="S32" s="273"/>
      <c r="T32" s="310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BE32" s="241" t="s">
        <v>517</v>
      </c>
    </row>
    <row r="33" spans="2:74" ht="25.05" customHeight="1" x14ac:dyDescent="0.35">
      <c r="B33" s="86"/>
      <c r="C33" s="87"/>
      <c r="D33" s="329"/>
      <c r="E33" s="329"/>
      <c r="F33" s="329"/>
      <c r="G33" s="6"/>
      <c r="H33" s="13"/>
      <c r="I33" s="54"/>
      <c r="J33" s="561" t="s">
        <v>84</v>
      </c>
      <c r="K33" s="562"/>
      <c r="L33" s="562"/>
      <c r="M33" s="562"/>
      <c r="N33" s="236" t="s">
        <v>193</v>
      </c>
      <c r="O33" s="233">
        <f>ROUNDUP((IF(C20=BV15,(E20+F20)*2*G20,0)+IF(C21=BV15,(E21+F21)*2*G21,0)+IF(C22=BV15,(E22+F22)*2*G22,0)+IF(C23=BV15,(E23+F23)*2*G23,0)+IF(C24=BV15,(E24+F24)*2*G24,0))/1000,0)</f>
        <v>12</v>
      </c>
      <c r="P33" s="252"/>
      <c r="Q33" s="252"/>
      <c r="R33" s="286">
        <f>O33*Цены!J180</f>
        <v>531.96</v>
      </c>
      <c r="S33" s="274"/>
      <c r="T33" s="311"/>
      <c r="V33" s="322"/>
      <c r="W33" s="322"/>
      <c r="X33" s="322"/>
      <c r="Y33" s="322"/>
      <c r="Z33" s="322"/>
      <c r="AA33" s="322"/>
      <c r="AB33" s="322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6"/>
      <c r="BV33" s="48">
        <v>0</v>
      </c>
    </row>
    <row r="34" spans="2:74" ht="25.05" customHeight="1" x14ac:dyDescent="0.3">
      <c r="B34" s="12"/>
      <c r="C34" s="6"/>
      <c r="D34" s="6"/>
      <c r="E34" s="6"/>
      <c r="F34" s="6"/>
      <c r="G34" s="6"/>
      <c r="H34" s="13"/>
      <c r="I34" s="54"/>
      <c r="J34" s="561" t="s">
        <v>56</v>
      </c>
      <c r="K34" s="562"/>
      <c r="L34" s="562"/>
      <c r="M34" s="562"/>
      <c r="N34" s="127" t="s">
        <v>195</v>
      </c>
      <c r="O34" s="406">
        <f>IF(K5&gt;0,M13+M14,0)</f>
        <v>6</v>
      </c>
      <c r="P34" s="249"/>
      <c r="Q34" s="249"/>
      <c r="R34" s="286">
        <f>O34*Цены!J134</f>
        <v>84.36</v>
      </c>
      <c r="S34" s="274"/>
      <c r="T34" s="311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Z34" s="96">
        <v>1000</v>
      </c>
      <c r="BA34" s="96">
        <v>1250</v>
      </c>
      <c r="BB34" s="96">
        <v>1800</v>
      </c>
      <c r="BC34" s="96">
        <v>2000</v>
      </c>
      <c r="BD34" s="96">
        <v>2500</v>
      </c>
      <c r="BE34" s="96">
        <v>2700</v>
      </c>
      <c r="BF34" s="96">
        <v>3000</v>
      </c>
      <c r="BG34" s="96">
        <v>3600</v>
      </c>
      <c r="BH34" s="96">
        <v>3750</v>
      </c>
      <c r="BI34" s="96">
        <v>4000</v>
      </c>
      <c r="BJ34" s="96">
        <v>5000</v>
      </c>
      <c r="BK34" s="142">
        <v>5400</v>
      </c>
      <c r="BL34" s="187"/>
      <c r="BM34" s="186"/>
      <c r="BN34" s="186"/>
      <c r="BO34" s="186"/>
      <c r="BP34" s="186"/>
      <c r="BQ34" s="186"/>
      <c r="BR34" s="186"/>
      <c r="BV34" s="48">
        <v>1</v>
      </c>
    </row>
    <row r="35" spans="2:74" ht="25.05" customHeight="1" x14ac:dyDescent="0.35">
      <c r="B35" s="86"/>
      <c r="C35" s="87"/>
      <c r="D35" s="329"/>
      <c r="E35" s="329"/>
      <c r="F35" s="329"/>
      <c r="G35" s="329"/>
      <c r="H35" s="64"/>
      <c r="I35" s="54"/>
      <c r="J35" s="561" t="s">
        <v>76</v>
      </c>
      <c r="K35" s="562"/>
      <c r="L35" s="562"/>
      <c r="M35" s="562"/>
      <c r="N35" s="236" t="s">
        <v>196</v>
      </c>
      <c r="O35" s="234">
        <f>IF(E11=BV50,ROUNDUP(K4*2/1000,0),0)+IF(AND(E9=BV10,E11=BV50),ROUNDUP(K4*2/1000,0),0)</f>
        <v>0</v>
      </c>
      <c r="P35" s="253"/>
      <c r="Q35" s="253"/>
      <c r="R35" s="286">
        <f>O35*Цены!J163</f>
        <v>0</v>
      </c>
      <c r="S35" s="274"/>
      <c r="T35" s="311"/>
      <c r="AX35" s="6"/>
      <c r="AZ35" s="141">
        <v>0</v>
      </c>
      <c r="BA35" s="141">
        <v>0</v>
      </c>
      <c r="BB35" s="141">
        <v>0</v>
      </c>
      <c r="BC35" s="141">
        <v>0</v>
      </c>
      <c r="BD35" s="141">
        <v>0</v>
      </c>
      <c r="BE35" s="141">
        <v>0</v>
      </c>
      <c r="BF35" s="141">
        <v>0</v>
      </c>
      <c r="BG35" s="141">
        <v>0</v>
      </c>
      <c r="BH35" s="141">
        <v>0</v>
      </c>
      <c r="BI35" s="141">
        <v>0</v>
      </c>
      <c r="BJ35" s="141">
        <v>0</v>
      </c>
      <c r="BK35" s="316">
        <f>BK22</f>
        <v>2</v>
      </c>
      <c r="BL35" s="141"/>
      <c r="BM35" s="188"/>
      <c r="BN35" s="188"/>
      <c r="BO35" s="188"/>
      <c r="BP35" s="188"/>
      <c r="BQ35" s="188"/>
      <c r="BR35" s="188"/>
      <c r="BV35" s="48">
        <v>2</v>
      </c>
    </row>
    <row r="36" spans="2:74" ht="25.05" customHeight="1" x14ac:dyDescent="0.35">
      <c r="B36" s="86"/>
      <c r="C36" s="87"/>
      <c r="D36" s="329"/>
      <c r="E36" s="329"/>
      <c r="F36" s="329"/>
      <c r="G36" s="329"/>
      <c r="H36" s="64"/>
      <c r="I36" s="54"/>
      <c r="J36" s="587" t="s">
        <v>129</v>
      </c>
      <c r="K36" s="588"/>
      <c r="L36" s="588"/>
      <c r="M36" s="588"/>
      <c r="N36" s="236" t="str">
        <f>IF(OR(E7=Цены!G7,E7=Цены!G10),Складная!AY62,Складная!AY63)</f>
        <v>AA0996.VM100</v>
      </c>
      <c r="O36" s="234">
        <f>IF(E11=BV49,ROUNDUP(K4*2/1000,0),0)+IF(AND(E9=BV10,E11=BV49),ROUNDUP(K4*2/1000,0),0)</f>
        <v>6</v>
      </c>
      <c r="P36" s="253"/>
      <c r="Q36" s="253"/>
      <c r="R36" s="262">
        <f>IF(N36=AY62,O36*Цены!J182,O36*Цены!K167)</f>
        <v>200.82</v>
      </c>
      <c r="S36" s="243"/>
      <c r="T36" s="30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Z36" s="143">
        <v>0</v>
      </c>
      <c r="BA36" s="143">
        <v>0</v>
      </c>
      <c r="BB36" s="143">
        <v>0</v>
      </c>
      <c r="BC36" s="143">
        <v>0</v>
      </c>
      <c r="BD36" s="141">
        <f>IF(AND(BL36&gt;0,BL36&lt;=2500),1,0)</f>
        <v>1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1">
        <f>IF(AND(BL36&gt;2500,BL36&lt;=5000),BM36+1,BM36)</f>
        <v>0</v>
      </c>
      <c r="BK36" s="143">
        <v>0</v>
      </c>
      <c r="BL36" s="185">
        <f>BL23</f>
        <v>1198</v>
      </c>
      <c r="BM36" s="185">
        <f>BM23</f>
        <v>0</v>
      </c>
      <c r="BN36" s="141"/>
      <c r="BO36" s="141"/>
      <c r="BP36" s="141"/>
      <c r="BQ36" s="141"/>
      <c r="BR36" s="141"/>
      <c r="BV36" s="48">
        <v>3</v>
      </c>
    </row>
    <row r="37" spans="2:74" ht="25.05" customHeight="1" x14ac:dyDescent="0.35">
      <c r="B37" s="86"/>
      <c r="C37" s="87"/>
      <c r="D37" s="329"/>
      <c r="E37" s="329"/>
      <c r="F37" s="329"/>
      <c r="G37" s="329"/>
      <c r="H37" s="64"/>
      <c r="I37" s="54"/>
      <c r="J37" s="587" t="s">
        <v>161</v>
      </c>
      <c r="K37" s="588"/>
      <c r="L37" s="588"/>
      <c r="M37" s="588"/>
      <c r="N37" s="294" t="s">
        <v>198</v>
      </c>
      <c r="O37" s="232">
        <f>M9</f>
        <v>4</v>
      </c>
      <c r="P37" s="251"/>
      <c r="Q37" s="251"/>
      <c r="R37" s="262">
        <f>O37*Цены!J178</f>
        <v>71.84</v>
      </c>
      <c r="S37" s="243"/>
      <c r="T37" s="30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54" t="s">
        <v>264</v>
      </c>
      <c r="AZ37" s="143">
        <v>0</v>
      </c>
      <c r="BA37" s="143">
        <v>0</v>
      </c>
      <c r="BB37" s="143">
        <v>0</v>
      </c>
      <c r="BC37" s="143">
        <v>0</v>
      </c>
      <c r="BD37" s="143">
        <v>0</v>
      </c>
      <c r="BE37" s="141">
        <f>IF(AND(BL37&gt;0,BL37&lt;=2700),1,0)</f>
        <v>0</v>
      </c>
      <c r="BF37" s="143">
        <v>0</v>
      </c>
      <c r="BG37" s="143">
        <v>0</v>
      </c>
      <c r="BH37" s="143">
        <v>0</v>
      </c>
      <c r="BI37" s="143">
        <v>0</v>
      </c>
      <c r="BJ37" s="143">
        <v>0</v>
      </c>
      <c r="BK37" s="141">
        <f>IF(AND(BL37&gt;2700,BL37&lt;=5400),BM37+1,BM37)</f>
        <v>0</v>
      </c>
      <c r="BL37" s="185">
        <f t="shared" ref="BL37:BM37" si="23">BL24</f>
        <v>0</v>
      </c>
      <c r="BM37" s="185">
        <f t="shared" si="23"/>
        <v>0</v>
      </c>
      <c r="BN37" s="141"/>
      <c r="BO37" s="141"/>
      <c r="BP37" s="188"/>
      <c r="BQ37" s="188"/>
      <c r="BR37" s="188"/>
      <c r="BV37" s="48">
        <v>4</v>
      </c>
    </row>
    <row r="38" spans="2:74" ht="25.05" customHeight="1" thickBot="1" x14ac:dyDescent="0.4">
      <c r="B38" s="86"/>
      <c r="C38" s="87"/>
      <c r="D38" s="329"/>
      <c r="E38" s="329"/>
      <c r="F38" s="329"/>
      <c r="G38" s="329"/>
      <c r="H38" s="64"/>
      <c r="I38" s="54"/>
      <c r="J38" s="622" t="s">
        <v>74</v>
      </c>
      <c r="K38" s="623"/>
      <c r="L38" s="623"/>
      <c r="M38" s="623"/>
      <c r="N38" s="448" t="s">
        <v>226</v>
      </c>
      <c r="O38" s="419">
        <f>E9</f>
        <v>1</v>
      </c>
      <c r="P38" s="249"/>
      <c r="Q38" s="249"/>
      <c r="R38" s="418">
        <f>O38*Цены!J160</f>
        <v>133.72</v>
      </c>
      <c r="S38" s="274"/>
      <c r="T38" s="311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146">
        <f>IF(C20=$BV$13,(F20*E20/1000000)*8,IF(C20=$BV$14,(F20*E20/1000000)*6.5,(F20*E20/1000000)*11))</f>
        <v>14.279847999999999</v>
      </c>
      <c r="AZ38" s="143">
        <v>0</v>
      </c>
      <c r="BA38" s="143">
        <v>0</v>
      </c>
      <c r="BB38" s="143">
        <v>0</v>
      </c>
      <c r="BC38" s="143">
        <v>0</v>
      </c>
      <c r="BD38" s="141">
        <f>IF(AND(BL38&gt;0,BL38&lt;=2500),1,0)</f>
        <v>1</v>
      </c>
      <c r="BE38" s="143">
        <v>0</v>
      </c>
      <c r="BF38" s="143">
        <v>0</v>
      </c>
      <c r="BG38" s="143">
        <v>0</v>
      </c>
      <c r="BH38" s="143">
        <v>0</v>
      </c>
      <c r="BI38" s="143">
        <v>0</v>
      </c>
      <c r="BJ38" s="141">
        <f>IF(AND(BL38&gt;2500,BL38&lt;=5000),BM38+1,BM38)</f>
        <v>0</v>
      </c>
      <c r="BK38" s="143">
        <v>0</v>
      </c>
      <c r="BL38" s="185">
        <f t="shared" ref="BL38:BM38" si="24">BL25</f>
        <v>1198</v>
      </c>
      <c r="BM38" s="185">
        <f t="shared" si="24"/>
        <v>0</v>
      </c>
      <c r="BN38" s="141"/>
      <c r="BO38" s="141"/>
      <c r="BP38" s="188"/>
      <c r="BQ38" s="188"/>
      <c r="BR38" s="188"/>
    </row>
    <row r="39" spans="2:74" ht="25.05" customHeight="1" thickBot="1" x14ac:dyDescent="0.35">
      <c r="B39" s="12"/>
      <c r="C39" s="6"/>
      <c r="D39" s="6"/>
      <c r="E39" s="6"/>
      <c r="F39" s="6"/>
      <c r="G39" s="6"/>
      <c r="H39" s="13"/>
      <c r="J39" s="14"/>
      <c r="K39" s="151"/>
      <c r="L39" s="151"/>
      <c r="M39" s="151"/>
      <c r="N39" s="151"/>
      <c r="O39" s="137"/>
      <c r="R39" s="136">
        <f>SUM(R22:R38)</f>
        <v>5447.8499999999995</v>
      </c>
      <c r="S39" s="102"/>
      <c r="T39" s="312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146">
        <f>IF(C21=$BV$13,(F21*E21/1000000)*8,IF(C21=$BV$14,(F21*E21/1000000)*6.5,(F21*E21/1000000)*11))</f>
        <v>0</v>
      </c>
      <c r="AZ39" s="143">
        <v>0</v>
      </c>
      <c r="BA39" s="143">
        <v>0</v>
      </c>
      <c r="BB39" s="143">
        <v>0</v>
      </c>
      <c r="BC39" s="143">
        <v>0</v>
      </c>
      <c r="BD39" s="141">
        <f>IF(AND(BL39&gt;1250,BL39&lt;=2500),1,0)</f>
        <v>1</v>
      </c>
      <c r="BE39" s="143">
        <v>0</v>
      </c>
      <c r="BF39" s="143">
        <v>0</v>
      </c>
      <c r="BG39" s="143">
        <v>0</v>
      </c>
      <c r="BH39" s="143">
        <v>0</v>
      </c>
      <c r="BI39" s="143">
        <v>0</v>
      </c>
      <c r="BJ39" s="141">
        <f>IF(AND(BL39&gt;3750,BL39&lt;=5000),BM39+1,BM39)</f>
        <v>0</v>
      </c>
      <c r="BK39" s="143">
        <v>0</v>
      </c>
      <c r="BL39" s="185">
        <f t="shared" ref="BL39:BM39" si="25">BL26</f>
        <v>2044</v>
      </c>
      <c r="BM39" s="185">
        <f t="shared" si="25"/>
        <v>0</v>
      </c>
      <c r="BN39" s="141"/>
      <c r="BO39" s="141"/>
      <c r="BP39" s="188"/>
      <c r="BQ39" s="188"/>
      <c r="BR39" s="189"/>
      <c r="BV39" s="79" t="s">
        <v>118</v>
      </c>
    </row>
    <row r="40" spans="2:74" ht="25.05" customHeight="1" thickBot="1" x14ac:dyDescent="0.35">
      <c r="B40" s="12"/>
      <c r="C40" s="6"/>
      <c r="D40" s="6"/>
      <c r="E40" s="6"/>
      <c r="F40" s="6"/>
      <c r="G40" s="325" t="s">
        <v>261</v>
      </c>
      <c r="H40" s="148">
        <f>ROUNDUP((AY18+AY43)*1.1,0)</f>
        <v>41</v>
      </c>
      <c r="J40" s="6"/>
      <c r="K40" s="6"/>
      <c r="L40" s="6"/>
      <c r="M40" s="6"/>
      <c r="N40" s="6"/>
      <c r="O40" s="6"/>
      <c r="Q40" s="621" t="s">
        <v>425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146">
        <f>IF(C22=$BV$13,(F22*E22/1000000)*8,IF(C22=$BV$14,(F22*E22/1000000)*6.5,(F22*E22/1000000)*11))</f>
        <v>0</v>
      </c>
      <c r="AZ40" s="143">
        <v>0</v>
      </c>
      <c r="BA40" s="143">
        <v>0</v>
      </c>
      <c r="BB40" s="143">
        <v>0</v>
      </c>
      <c r="BC40" s="143">
        <v>0</v>
      </c>
      <c r="BD40" s="190">
        <f>IF(AND(J14=BY6,BL40&gt;0,BL40&lt;=2500),1,0)</f>
        <v>1</v>
      </c>
      <c r="BE40" s="191">
        <f>IF(AND(J14=BY5,BO40&gt;0,BO40&lt;=2700),1,0)</f>
        <v>0</v>
      </c>
      <c r="BF40" s="143">
        <v>0</v>
      </c>
      <c r="BG40" s="143">
        <v>0</v>
      </c>
      <c r="BH40" s="143">
        <v>0</v>
      </c>
      <c r="BI40" s="143">
        <v>0</v>
      </c>
      <c r="BJ40" s="190">
        <f>IF(AND(J14=BY6,BL40&gt;2500,BL40&lt;=4950),BM40+1,BM40)</f>
        <v>0</v>
      </c>
      <c r="BK40" s="191">
        <f>IF(AND(J14=BY5,BO40&gt;2700,BO40&lt;=5350),BP40+1,BP40)</f>
        <v>0</v>
      </c>
      <c r="BL40" s="185">
        <f>BL27</f>
        <v>1022</v>
      </c>
      <c r="BM40" s="185">
        <f>BM27</f>
        <v>0</v>
      </c>
      <c r="BN40" s="141"/>
      <c r="BO40" s="141">
        <f>BO27</f>
        <v>1022</v>
      </c>
      <c r="BP40" s="141">
        <f>BP27</f>
        <v>0</v>
      </c>
      <c r="BQ40" s="188"/>
      <c r="BR40" s="188"/>
      <c r="BV40" s="79" t="s">
        <v>119</v>
      </c>
    </row>
    <row r="41" spans="2:74" ht="25.05" customHeight="1" thickBot="1" x14ac:dyDescent="0.35">
      <c r="B41" s="14"/>
      <c r="C41" s="151"/>
      <c r="D41" s="151"/>
      <c r="E41" s="151"/>
      <c r="F41" s="151"/>
      <c r="G41" s="151"/>
      <c r="H41" s="137"/>
      <c r="J41" s="6"/>
      <c r="K41" s="6"/>
      <c r="L41" s="535" t="s">
        <v>521</v>
      </c>
      <c r="M41" s="535"/>
      <c r="N41" s="535"/>
      <c r="O41" s="535"/>
      <c r="Q41" s="621"/>
      <c r="R41" s="282">
        <f>R16+R39+H25</f>
        <v>32405.3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146">
        <f>IF(C23=$BV$13,(F23*E23/1000000)*8,IF(C23=$BV$14,(F23*E23/1000000)*6.5,(F23*E23/1000000)*11))</f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41">
        <f>IF(AND(BO41&gt;0,BO41&lt;=2700),1,0)</f>
        <v>1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41">
        <f>IF(AND(BO41&gt;2700,BO41&lt;=5400),BP41+1,BP41)</f>
        <v>0</v>
      </c>
      <c r="BL41" s="185"/>
      <c r="BM41" s="141"/>
      <c r="BN41" s="185"/>
      <c r="BO41" s="141">
        <f>BO28</f>
        <v>450</v>
      </c>
      <c r="BP41" s="141">
        <f>BP28</f>
        <v>0</v>
      </c>
      <c r="BQ41" s="185"/>
      <c r="BR41" s="185"/>
    </row>
    <row r="42" spans="2:74" ht="16.2" thickBot="1" x14ac:dyDescent="0.35">
      <c r="J42" s="6"/>
      <c r="K42" s="6"/>
      <c r="L42" s="6"/>
      <c r="M42" s="6"/>
      <c r="N42" s="6"/>
      <c r="O42" s="6"/>
      <c r="R42" s="280"/>
      <c r="S42" s="324"/>
      <c r="T42" s="324"/>
      <c r="U42" s="20"/>
      <c r="V42" s="20"/>
      <c r="W42" s="20"/>
      <c r="X42" s="20"/>
      <c r="Y42" s="20"/>
      <c r="Z42" s="20"/>
      <c r="AA42" s="19"/>
      <c r="AB42" s="19"/>
      <c r="AC42" s="19"/>
      <c r="AD42" s="18"/>
      <c r="AE42" s="324"/>
      <c r="AF42" s="324"/>
      <c r="AG42" s="324"/>
      <c r="AH42" s="324"/>
      <c r="AI42" s="400"/>
      <c r="AJ42" s="400"/>
      <c r="AK42" s="400"/>
      <c r="AL42" s="400"/>
      <c r="AM42" s="400"/>
      <c r="AN42" s="400"/>
      <c r="AO42" s="400"/>
      <c r="AP42" s="400"/>
      <c r="AQ42" s="400"/>
      <c r="AR42" s="400"/>
      <c r="AS42" s="400"/>
      <c r="AT42" s="400"/>
      <c r="AU42" s="400"/>
      <c r="AV42" s="400"/>
      <c r="AW42" s="400"/>
      <c r="AX42" s="6"/>
      <c r="AY42" s="146">
        <f>IF(C24=$BV$13,(F24*E24/1000000)*8,IF(C24=$BV$14,(F24*E24/1000000)*6.5,(F24*E24/1000000)*11))</f>
        <v>0</v>
      </c>
    </row>
    <row r="43" spans="2:74" ht="18.600000000000001" thickBot="1" x14ac:dyDescent="0.4">
      <c r="J43" s="6"/>
      <c r="K43" s="6"/>
      <c r="L43" s="6"/>
      <c r="M43" s="6"/>
      <c r="N43" s="6"/>
      <c r="O43" s="6"/>
      <c r="R43" s="9"/>
      <c r="S43" s="9"/>
      <c r="T43" s="313"/>
      <c r="U43" s="20"/>
      <c r="V43" s="20"/>
      <c r="W43" s="20"/>
      <c r="X43" s="20"/>
      <c r="Y43" s="20"/>
      <c r="Z43" s="20"/>
      <c r="AA43" s="19"/>
      <c r="AB43" s="19"/>
      <c r="AC43" s="19"/>
      <c r="AD43" s="18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Y43" s="290">
        <f>SUM(AY38:AY42)*2</f>
        <v>28.559695999999999</v>
      </c>
      <c r="BV43" s="90" t="s">
        <v>126</v>
      </c>
    </row>
    <row r="44" spans="2:74" x14ac:dyDescent="0.3">
      <c r="J44" s="6"/>
      <c r="K44" s="6"/>
      <c r="L44" s="6"/>
      <c r="M44" s="6"/>
      <c r="N44" s="6"/>
      <c r="O44" s="6"/>
      <c r="R44" s="281"/>
      <c r="S44" s="18"/>
      <c r="T44" s="314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BV44" s="1" t="s">
        <v>94</v>
      </c>
    </row>
    <row r="45" spans="2:74" ht="25.05" customHeight="1" x14ac:dyDescent="0.3">
      <c r="J45" s="5"/>
      <c r="K45" s="100"/>
      <c r="L45" s="19"/>
      <c r="M45" s="19"/>
      <c r="N45" s="101"/>
      <c r="O45" s="77"/>
      <c r="P45" s="77"/>
      <c r="Q45" s="77"/>
      <c r="R45" s="281"/>
      <c r="S45" s="18"/>
      <c r="T45" s="314"/>
      <c r="U45" s="18"/>
      <c r="V45" s="18"/>
      <c r="W45" s="18"/>
      <c r="X45" s="18"/>
      <c r="Y45" s="18"/>
      <c r="Z45" s="18"/>
      <c r="AA45" s="5"/>
      <c r="AB45" s="5"/>
      <c r="AC45" s="5"/>
      <c r="AD45" s="5"/>
      <c r="AE45" s="18"/>
      <c r="AF45" s="18"/>
      <c r="AG45" s="18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BE45" s="241" t="s">
        <v>518</v>
      </c>
    </row>
    <row r="46" spans="2:74" ht="25.05" customHeight="1" x14ac:dyDescent="0.3">
      <c r="J46" s="5"/>
      <c r="K46" s="100"/>
      <c r="L46" s="19"/>
      <c r="M46" s="19"/>
      <c r="N46" s="101"/>
      <c r="O46" s="77"/>
      <c r="P46" s="77"/>
      <c r="Q46" s="77"/>
      <c r="R46" s="281"/>
      <c r="S46" s="18"/>
      <c r="T46" s="314"/>
      <c r="U46" s="18"/>
      <c r="V46" s="18"/>
      <c r="W46" s="18"/>
      <c r="X46" s="18"/>
      <c r="Y46" s="18"/>
      <c r="Z46" s="18"/>
      <c r="AA46" s="5"/>
      <c r="AB46" s="5"/>
      <c r="AC46" s="5"/>
      <c r="AD46" s="5"/>
      <c r="AE46" s="18"/>
      <c r="AF46" s="18"/>
      <c r="AG46" s="18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</row>
    <row r="47" spans="2:74" ht="25.05" customHeight="1" x14ac:dyDescent="0.3">
      <c r="J47" s="5"/>
      <c r="K47" s="100"/>
      <c r="L47" s="19"/>
      <c r="M47" s="19"/>
      <c r="N47" s="101"/>
      <c r="O47" s="77"/>
      <c r="P47" s="77"/>
      <c r="Q47" s="77"/>
      <c r="R47" s="327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Y47" s="26" t="str">
        <f>Подвесная!BU50</f>
        <v>Серебро матовое</v>
      </c>
      <c r="AZ47" s="96">
        <v>1000</v>
      </c>
      <c r="BA47" s="96">
        <v>1250</v>
      </c>
      <c r="BB47" s="96">
        <v>1800</v>
      </c>
      <c r="BC47" s="96">
        <v>2000</v>
      </c>
      <c r="BD47" s="96">
        <v>2500</v>
      </c>
      <c r="BE47" s="96">
        <v>2700</v>
      </c>
      <c r="BF47" s="96">
        <v>3000</v>
      </c>
      <c r="BG47" s="96">
        <v>3600</v>
      </c>
      <c r="BH47" s="96">
        <v>3750</v>
      </c>
      <c r="BI47" s="96">
        <v>4000</v>
      </c>
      <c r="BJ47" s="96">
        <v>5000</v>
      </c>
      <c r="BK47" s="142">
        <v>5400</v>
      </c>
      <c r="BL47" s="187"/>
      <c r="BM47" s="186"/>
      <c r="BN47" s="186"/>
      <c r="BO47" s="186"/>
      <c r="BP47" s="186"/>
      <c r="BQ47" s="186"/>
      <c r="BR47" s="186"/>
      <c r="BS47" s="38"/>
      <c r="BT47" s="38"/>
      <c r="BU47" s="38"/>
      <c r="BV47" s="1" t="s">
        <v>80</v>
      </c>
    </row>
    <row r="48" spans="2:74" ht="25.05" customHeight="1" x14ac:dyDescent="0.3">
      <c r="J48" s="5"/>
      <c r="K48" s="100"/>
      <c r="L48" s="19"/>
      <c r="M48" s="19"/>
      <c r="N48" s="101"/>
      <c r="O48" s="77"/>
      <c r="P48" s="77"/>
      <c r="Q48" s="77"/>
      <c r="R48" s="327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Y48" s="26" t="str">
        <f>Подвесная!BU51</f>
        <v>Черный матовый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316">
        <f>BK35</f>
        <v>2</v>
      </c>
      <c r="BL48" s="141"/>
      <c r="BM48" s="188"/>
      <c r="BN48" s="188"/>
      <c r="BO48" s="188"/>
      <c r="BP48" s="188"/>
      <c r="BQ48" s="188"/>
      <c r="BR48" s="188"/>
      <c r="BS48" s="38"/>
      <c r="BT48" s="38"/>
      <c r="BU48" s="38"/>
      <c r="BV48" s="83" t="s">
        <v>159</v>
      </c>
    </row>
    <row r="49" spans="10:74" ht="25.05" customHeight="1" x14ac:dyDescent="0.3">
      <c r="J49" s="5"/>
      <c r="K49" s="100"/>
      <c r="L49" s="19"/>
      <c r="M49" s="19"/>
      <c r="N49" s="101"/>
      <c r="O49" s="77"/>
      <c r="P49" s="77"/>
      <c r="Q49" s="77"/>
      <c r="R49" s="327"/>
      <c r="U49" s="6"/>
      <c r="V49" s="6"/>
      <c r="W49" s="6"/>
      <c r="X49" s="6"/>
      <c r="Y49" s="6"/>
      <c r="Z49" s="6"/>
      <c r="AA49" s="6"/>
      <c r="AB49" s="6"/>
      <c r="AC49" s="6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Y49" s="26" t="str">
        <f>Подвесная!BU52</f>
        <v>Слоновая кость</v>
      </c>
      <c r="AZ49" s="143">
        <v>0</v>
      </c>
      <c r="BA49" s="143">
        <v>0</v>
      </c>
      <c r="BB49" s="143">
        <v>0</v>
      </c>
      <c r="BC49" s="143">
        <v>0</v>
      </c>
      <c r="BD49" s="141">
        <f>IF(AND(BL49&gt;0,BL49&lt;=2500),1,0)</f>
        <v>1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1">
        <f>IF(AND(BL49&gt;2500,BL49&lt;=4950),BM49+1,BM49)</f>
        <v>0</v>
      </c>
      <c r="BK49" s="143">
        <v>0</v>
      </c>
      <c r="BL49" s="185">
        <f>BL36</f>
        <v>1198</v>
      </c>
      <c r="BM49" s="185">
        <f>BM36</f>
        <v>0</v>
      </c>
      <c r="BN49" s="141"/>
      <c r="BO49" s="141"/>
      <c r="BP49" s="141"/>
      <c r="BQ49" s="141"/>
      <c r="BR49" s="141"/>
      <c r="BS49" s="38"/>
      <c r="BT49" s="38"/>
      <c r="BU49" s="38"/>
      <c r="BV49" s="83" t="s">
        <v>129</v>
      </c>
    </row>
    <row r="50" spans="10:74" ht="25.05" customHeight="1" x14ac:dyDescent="0.3">
      <c r="J50" s="5"/>
      <c r="K50" s="100"/>
      <c r="L50" s="19"/>
      <c r="M50" s="19"/>
      <c r="N50" s="101"/>
      <c r="O50" s="77"/>
      <c r="P50" s="77"/>
      <c r="Q50" s="77"/>
      <c r="R50" s="327"/>
      <c r="U50" s="6"/>
      <c r="V50" s="6"/>
      <c r="W50" s="6"/>
      <c r="X50" s="6"/>
      <c r="Y50" s="6"/>
      <c r="Z50" s="6"/>
      <c r="AA50" s="6"/>
      <c r="AB50" s="6"/>
      <c r="AC50" s="6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Y50" s="26" t="str">
        <f>Подвесная!BU53</f>
        <v>Белый матовый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1">
        <f>IF(AND(BL50&gt;0,BL50&lt;=2700),1,0)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IF(AND(BL50&gt;2700,BL50&lt;=5400),BM50+1,BM50)</f>
        <v>0</v>
      </c>
      <c r="BL50" s="185">
        <f t="shared" ref="BL50:BM50" si="26">BL37</f>
        <v>0</v>
      </c>
      <c r="BM50" s="185">
        <f t="shared" si="26"/>
        <v>0</v>
      </c>
      <c r="BN50" s="141"/>
      <c r="BO50" s="141"/>
      <c r="BP50" s="188"/>
      <c r="BQ50" s="188"/>
      <c r="BR50" s="188"/>
      <c r="BS50" s="38"/>
      <c r="BT50" s="38"/>
      <c r="BU50" s="38"/>
      <c r="BV50" s="1" t="s">
        <v>76</v>
      </c>
    </row>
    <row r="51" spans="10:74" ht="25.05" customHeight="1" x14ac:dyDescent="0.3">
      <c r="J51" s="5"/>
      <c r="K51" s="100"/>
      <c r="L51" s="19"/>
      <c r="M51" s="19"/>
      <c r="N51" s="101"/>
      <c r="O51" s="77"/>
      <c r="P51" s="77"/>
      <c r="Q51" s="77"/>
      <c r="R51" s="327"/>
      <c r="U51" s="6"/>
      <c r="V51" s="6"/>
      <c r="W51" s="6"/>
      <c r="X51" s="6"/>
      <c r="Y51" s="6"/>
      <c r="Z51" s="6"/>
      <c r="AA51" s="6"/>
      <c r="AB51" s="6"/>
      <c r="AC51" s="6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Y51" s="26" t="str">
        <f>Подвесная!BU54</f>
        <v xml:space="preserve">Венге темный </v>
      </c>
      <c r="AZ51" s="143">
        <v>0</v>
      </c>
      <c r="BA51" s="143">
        <v>0</v>
      </c>
      <c r="BB51" s="143">
        <v>0</v>
      </c>
      <c r="BC51" s="143">
        <v>0</v>
      </c>
      <c r="BD51" s="141">
        <f>IF(AND(BL51&gt;0,BL51&lt;=2500),1,0)</f>
        <v>1</v>
      </c>
      <c r="BE51" s="143">
        <v>0</v>
      </c>
      <c r="BF51" s="143">
        <v>0</v>
      </c>
      <c r="BG51" s="143">
        <v>0</v>
      </c>
      <c r="BH51" s="143">
        <v>0</v>
      </c>
      <c r="BI51" s="143">
        <v>0</v>
      </c>
      <c r="BJ51" s="141">
        <f>IF(AND(BL51&gt;2500,BL51&lt;=5000),BM51+1,BM51)</f>
        <v>0</v>
      </c>
      <c r="BK51" s="143">
        <v>0</v>
      </c>
      <c r="BL51" s="185">
        <f t="shared" ref="BL51:BM51" si="27">BL38</f>
        <v>1198</v>
      </c>
      <c r="BM51" s="185">
        <f t="shared" si="27"/>
        <v>0</v>
      </c>
      <c r="BN51" s="141"/>
      <c r="BO51" s="141"/>
      <c r="BP51" s="188"/>
      <c r="BQ51" s="188"/>
      <c r="BR51" s="188"/>
      <c r="BS51" s="38"/>
      <c r="BT51" s="38"/>
      <c r="BU51" s="38"/>
    </row>
    <row r="52" spans="10:74" ht="25.05" customHeight="1" x14ac:dyDescent="0.3">
      <c r="J52" s="5"/>
      <c r="K52" s="100"/>
      <c r="L52" s="19"/>
      <c r="M52" s="19"/>
      <c r="N52" s="101"/>
      <c r="O52" s="77"/>
      <c r="P52" s="77"/>
      <c r="Q52" s="77"/>
      <c r="R52" s="327"/>
      <c r="U52" s="6"/>
      <c r="V52" s="6"/>
      <c r="W52" s="6"/>
      <c r="X52" s="6"/>
      <c r="Y52" s="6"/>
      <c r="Z52" s="6"/>
      <c r="AA52" s="6"/>
      <c r="AB52" s="6"/>
      <c r="AC52" s="6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Y52" s="26" t="str">
        <f>Подвесная!BU55</f>
        <v>Дуб белый</v>
      </c>
      <c r="AZ52" s="143">
        <v>0</v>
      </c>
      <c r="BA52" s="143">
        <v>0</v>
      </c>
      <c r="BB52" s="143">
        <v>0</v>
      </c>
      <c r="BC52" s="143">
        <v>0</v>
      </c>
      <c r="BD52" s="141">
        <f>IF(AND(BL52&gt;1250,BL52&lt;=2500),1,0)</f>
        <v>1</v>
      </c>
      <c r="BE52" s="143">
        <v>0</v>
      </c>
      <c r="BF52" s="143">
        <v>0</v>
      </c>
      <c r="BG52" s="143">
        <v>0</v>
      </c>
      <c r="BH52" s="143">
        <v>0</v>
      </c>
      <c r="BI52" s="143">
        <v>0</v>
      </c>
      <c r="BJ52" s="141">
        <f>IF(AND(BL52&gt;3750,BL52&lt;=5000),BM52+1,BM52)</f>
        <v>0</v>
      </c>
      <c r="BK52" s="143">
        <v>0</v>
      </c>
      <c r="BL52" s="185">
        <f t="shared" ref="BL52:BM52" si="28">BL39</f>
        <v>2044</v>
      </c>
      <c r="BM52" s="185">
        <f t="shared" si="28"/>
        <v>0</v>
      </c>
      <c r="BN52" s="141"/>
      <c r="BO52" s="141"/>
      <c r="BP52" s="188"/>
      <c r="BQ52" s="188"/>
      <c r="BR52" s="189"/>
      <c r="BS52" s="38"/>
      <c r="BT52" s="38"/>
      <c r="BU52" s="38"/>
    </row>
    <row r="53" spans="10:74" ht="25.05" customHeight="1" x14ac:dyDescent="0.3">
      <c r="J53" s="5"/>
      <c r="K53" s="100"/>
      <c r="L53" s="19"/>
      <c r="M53" s="19"/>
      <c r="N53" s="101"/>
      <c r="O53" s="77"/>
      <c r="P53" s="77"/>
      <c r="Q53" s="77"/>
      <c r="R53" s="327"/>
      <c r="U53" s="6"/>
      <c r="V53" s="6"/>
      <c r="W53" s="6"/>
      <c r="X53" s="6"/>
      <c r="Y53" s="6"/>
      <c r="Z53" s="6"/>
      <c r="AA53" s="6"/>
      <c r="AB53" s="6"/>
      <c r="AC53" s="6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Y53" s="26" t="str">
        <f>Подвесная!BU56</f>
        <v xml:space="preserve"> медь античная*</v>
      </c>
      <c r="AZ53" s="143">
        <v>0</v>
      </c>
      <c r="BA53" s="143">
        <v>0</v>
      </c>
      <c r="BB53" s="191">
        <f>IF(AND(J14=BY5,BO53&gt;0,BO53&lt;=1800),1,0)</f>
        <v>0</v>
      </c>
      <c r="BC53" s="143">
        <v>0</v>
      </c>
      <c r="BD53" s="190">
        <f>IF(AND(J14=BY6,BL53&gt;0,BL53&lt;=2500),1,0)</f>
        <v>1</v>
      </c>
      <c r="BE53" s="191">
        <f>IF(AND(J14=BY5,BO53&gt;1800,BO53&lt;=2700),1,0)</f>
        <v>0</v>
      </c>
      <c r="BF53" s="143">
        <v>0</v>
      </c>
      <c r="BG53" s="191">
        <f>IF(AND(J14=BY5,BO53&gt;2700,BO53&lt;=3600),1,0)</f>
        <v>0</v>
      </c>
      <c r="BH53" s="143">
        <v>0</v>
      </c>
      <c r="BI53" s="143">
        <v>0</v>
      </c>
      <c r="BJ53" s="190">
        <f>IF(AND(J14=BY6,BL53&gt;2500,BL53&lt;=4950),BM53+1,BM53)</f>
        <v>0</v>
      </c>
      <c r="BK53" s="191">
        <f>IF(AND(J14=BY5,BO53&gt;3600,BO53&lt;=5350),BP53+1,BP53)</f>
        <v>0</v>
      </c>
      <c r="BL53" s="185">
        <f>BL40</f>
        <v>1022</v>
      </c>
      <c r="BM53" s="185">
        <f>BM40</f>
        <v>0</v>
      </c>
      <c r="BN53" s="141"/>
      <c r="BO53" s="141">
        <f>BO40</f>
        <v>1022</v>
      </c>
      <c r="BP53" s="141">
        <f>BP40</f>
        <v>0</v>
      </c>
      <c r="BQ53" s="188"/>
      <c r="BR53" s="188"/>
      <c r="BS53" s="38"/>
      <c r="BT53" s="38"/>
      <c r="BU53" s="38"/>
      <c r="BV53" s="1" t="s">
        <v>177</v>
      </c>
    </row>
    <row r="54" spans="10:74" ht="25.05" customHeight="1" x14ac:dyDescent="0.3">
      <c r="J54" s="5"/>
      <c r="K54" s="100"/>
      <c r="L54" s="19"/>
      <c r="M54" s="19"/>
      <c r="N54" s="101"/>
      <c r="O54" s="77"/>
      <c r="P54" s="77"/>
      <c r="Q54" s="77"/>
      <c r="R54" s="327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Y54" s="26" t="str">
        <f>Подвесная!BU57</f>
        <v>сталь воронёная</v>
      </c>
      <c r="AZ54" s="192">
        <v>0</v>
      </c>
      <c r="BA54" s="192">
        <v>0</v>
      </c>
      <c r="BB54" s="192">
        <v>0</v>
      </c>
      <c r="BC54" s="192">
        <v>0</v>
      </c>
      <c r="BD54" s="192">
        <v>0</v>
      </c>
      <c r="BE54" s="141">
        <f>IF(AND(BO54&gt;0,BO54&lt;=2700),1,0)</f>
        <v>1</v>
      </c>
      <c r="BF54" s="192">
        <v>0</v>
      </c>
      <c r="BG54" s="192">
        <v>0</v>
      </c>
      <c r="BH54" s="192">
        <v>0</v>
      </c>
      <c r="BI54" s="192">
        <v>0</v>
      </c>
      <c r="BJ54" s="192">
        <v>0</v>
      </c>
      <c r="BK54" s="141">
        <f>IF(AND(BO54&gt;2700,BO54&lt;=5400),BP54+1,BP54)</f>
        <v>0</v>
      </c>
      <c r="BL54" s="185"/>
      <c r="BM54" s="141"/>
      <c r="BN54" s="185"/>
      <c r="BO54" s="141">
        <f>BO41</f>
        <v>450</v>
      </c>
      <c r="BP54" s="141">
        <f>BP41</f>
        <v>0</v>
      </c>
      <c r="BQ54" s="185"/>
      <c r="BR54" s="185"/>
      <c r="BS54" s="38"/>
      <c r="BT54" s="38"/>
      <c r="BU54" s="38"/>
      <c r="BV54" s="1" t="s">
        <v>174</v>
      </c>
    </row>
    <row r="55" spans="10:74" x14ac:dyDescent="0.3">
      <c r="J55" s="5"/>
      <c r="K55" s="100"/>
      <c r="L55" s="19"/>
      <c r="M55" s="19"/>
      <c r="N55" s="101"/>
      <c r="O55" s="77"/>
      <c r="P55" s="77"/>
      <c r="Q55" s="77"/>
      <c r="R55" s="327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Y55" s="26" t="str">
        <f>Подвесная!BU58</f>
        <v>золото матовое</v>
      </c>
      <c r="BA55" s="183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</row>
    <row r="56" spans="10:74" x14ac:dyDescent="0.3">
      <c r="J56" s="639"/>
      <c r="K56" s="639"/>
      <c r="L56" s="639"/>
      <c r="M56" s="639"/>
      <c r="N56" s="639"/>
      <c r="O56" s="102"/>
      <c r="P56" s="102"/>
      <c r="Q56" s="102"/>
      <c r="R56" s="327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Y56" s="26" t="str">
        <f>Подвесная!BU59</f>
        <v>антрацит</v>
      </c>
      <c r="BA56" s="184"/>
    </row>
    <row r="57" spans="10:74" ht="15.75" customHeight="1" x14ac:dyDescent="0.3">
      <c r="J57" s="5"/>
      <c r="K57" s="5"/>
      <c r="L57" s="5"/>
      <c r="M57" s="5"/>
      <c r="N57" s="5"/>
      <c r="O57" s="5"/>
      <c r="R57" s="327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Y57" s="26" t="str">
        <f>Подвесная!BU60</f>
        <v>кварц бронзовый*</v>
      </c>
      <c r="BA57" s="184"/>
    </row>
    <row r="58" spans="10:74" ht="15.75" customHeight="1" x14ac:dyDescent="0.3">
      <c r="J58" s="6"/>
      <c r="K58" s="6"/>
      <c r="L58" s="6"/>
      <c r="M58" s="6"/>
      <c r="N58" s="6"/>
      <c r="O58" s="6"/>
      <c r="R58" s="327"/>
      <c r="U58" s="78"/>
      <c r="V58" s="78"/>
      <c r="W58" s="78"/>
      <c r="X58" s="78"/>
      <c r="Y58" s="78"/>
      <c r="Z58" s="78"/>
      <c r="AA58" s="78"/>
      <c r="AB58" s="78"/>
      <c r="AC58" s="78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Y58" s="26" t="str">
        <f>Подвесная!BU61</f>
        <v>жемчуг серый*</v>
      </c>
      <c r="BA58" s="184"/>
      <c r="BV58" s="1" t="s">
        <v>178</v>
      </c>
    </row>
    <row r="59" spans="10:74" ht="15.75" customHeight="1" x14ac:dyDescent="0.3">
      <c r="J59" s="6"/>
      <c r="K59" s="6"/>
      <c r="L59" s="6"/>
      <c r="M59" s="6"/>
      <c r="N59" s="6"/>
      <c r="O59" s="6"/>
      <c r="R59" s="327"/>
      <c r="U59" s="78"/>
      <c r="V59" s="78"/>
      <c r="W59" s="78"/>
      <c r="X59" s="78"/>
      <c r="Y59" s="78"/>
      <c r="Z59" s="78"/>
      <c r="AA59" s="78"/>
      <c r="AB59" s="78"/>
      <c r="AC59" s="78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Y59" s="26" t="str">
        <f>Подвесная!BU62</f>
        <v>жемчуг розовый*</v>
      </c>
      <c r="BA59" s="184"/>
      <c r="BV59" s="1" t="s">
        <v>174</v>
      </c>
    </row>
    <row r="60" spans="10:74" ht="15.75" customHeight="1" x14ac:dyDescent="0.3">
      <c r="J60" s="6"/>
      <c r="K60" s="6"/>
      <c r="L60" s="6"/>
      <c r="M60" s="6"/>
      <c r="N60" s="6"/>
      <c r="O60" s="6"/>
      <c r="R60" s="327"/>
      <c r="U60" s="78"/>
      <c r="V60" s="78"/>
      <c r="W60" s="78"/>
      <c r="X60" s="78"/>
      <c r="Y60" s="78"/>
      <c r="Z60" s="78"/>
      <c r="AA60" s="78"/>
      <c r="AB60" s="78"/>
      <c r="AC60" s="78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Y60" s="184"/>
      <c r="BA60" s="184"/>
    </row>
    <row r="61" spans="10:74" x14ac:dyDescent="0.3">
      <c r="J61" s="6"/>
      <c r="K61" s="6"/>
      <c r="L61" s="6"/>
      <c r="M61" s="6"/>
      <c r="N61" s="6"/>
      <c r="O61" s="6"/>
      <c r="R61" s="327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Y61" s="184"/>
      <c r="BA61" s="184"/>
    </row>
    <row r="62" spans="10:74" x14ac:dyDescent="0.3">
      <c r="J62" s="6"/>
      <c r="K62" s="6"/>
      <c r="L62" s="6"/>
      <c r="M62" s="6"/>
      <c r="N62" s="6"/>
      <c r="O62" s="6"/>
      <c r="R62" s="327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Y62" s="184" t="s">
        <v>197</v>
      </c>
      <c r="BA62" s="184"/>
    </row>
    <row r="63" spans="10:74" x14ac:dyDescent="0.3">
      <c r="J63" s="6"/>
      <c r="K63" s="6"/>
      <c r="L63" s="6"/>
      <c r="M63" s="6"/>
      <c r="N63" s="6"/>
      <c r="O63" s="6"/>
      <c r="R63" s="327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Y63" s="184" t="s">
        <v>240</v>
      </c>
      <c r="BA63" s="184"/>
    </row>
    <row r="64" spans="10:74" x14ac:dyDescent="0.3">
      <c r="J64" s="6"/>
      <c r="K64" s="6"/>
      <c r="L64" s="6"/>
      <c r="M64" s="6"/>
      <c r="N64" s="6"/>
      <c r="O64" s="6"/>
      <c r="R64" s="327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</row>
    <row r="65" spans="10:75" x14ac:dyDescent="0.3">
      <c r="J65" s="6"/>
      <c r="K65" s="6"/>
      <c r="L65" s="6"/>
      <c r="M65" s="6"/>
      <c r="N65" s="6"/>
      <c r="O65" s="6"/>
      <c r="R65" s="327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</row>
    <row r="66" spans="10:75" x14ac:dyDescent="0.3">
      <c r="R66" s="327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</row>
    <row r="67" spans="10:75" x14ac:dyDescent="0.3">
      <c r="R67" s="327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</row>
    <row r="68" spans="10:75" x14ac:dyDescent="0.3">
      <c r="R68" s="327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</row>
  </sheetData>
  <sheetProtection algorithmName="SHA-512" hashValue="HHLb/r8oZ1OsZxe5YOPaFRwa1VihLHlsaKq+7Gl6M0iBNbWsOOiHlaYAvEM2Ib0gbczZxqaHQaBLuCezkPwoxQ==" saltValue="qXUTHNycjK/XStJ9V6ob2w==" spinCount="100000" sheet="1" selectLockedCells="1"/>
  <mergeCells count="57"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  <mergeCell ref="B8:D8"/>
    <mergeCell ref="B9:D9"/>
    <mergeCell ref="B10:D10"/>
    <mergeCell ref="B11:D11"/>
    <mergeCell ref="B12:D12"/>
    <mergeCell ref="B4:D4"/>
    <mergeCell ref="B3:D3"/>
    <mergeCell ref="B5:D5"/>
    <mergeCell ref="B6:D6"/>
    <mergeCell ref="B7:D7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</mergeCells>
  <conditionalFormatting sqref="E7">
    <cfRule type="cellIs" dxfId="100" priority="94" operator="greaterThan">
      <formula>0</formula>
    </cfRule>
  </conditionalFormatting>
  <conditionalFormatting sqref="E11">
    <cfRule type="cellIs" dxfId="99" priority="65" operator="greaterThan">
      <formula>0</formula>
    </cfRule>
  </conditionalFormatting>
  <conditionalFormatting sqref="E12">
    <cfRule type="cellIs" dxfId="98" priority="61" operator="greaterThan">
      <formula>0</formula>
    </cfRule>
  </conditionalFormatting>
  <conditionalFormatting sqref="K4">
    <cfRule type="expression" dxfId="97" priority="111">
      <formula>$K$4&gt;3200</formula>
    </cfRule>
  </conditionalFormatting>
  <conditionalFormatting sqref="E6">
    <cfRule type="cellIs" dxfId="96" priority="36" operator="greaterThan">
      <formula>0</formula>
    </cfRule>
  </conditionalFormatting>
  <conditionalFormatting sqref="E10">
    <cfRule type="expression" dxfId="95" priority="417">
      <formula>$E$9=$BV$10</formula>
    </cfRule>
  </conditionalFormatting>
  <conditionalFormatting sqref="U9:AF15">
    <cfRule type="cellIs" dxfId="94" priority="77" operator="equal">
      <formula>0</formula>
    </cfRule>
  </conditionalFormatting>
  <conditionalFormatting sqref="H40">
    <cfRule type="expression" dxfId="93" priority="30">
      <formula>$H$40&gt;40</formula>
    </cfRule>
  </conditionalFormatting>
  <conditionalFormatting sqref="O37:Q37 S37:T37">
    <cfRule type="expression" dxfId="92" priority="494">
      <formula>#REF!=0</formula>
    </cfRule>
  </conditionalFormatting>
  <conditionalFormatting sqref="AA42:AD43 H25 F20:H24 E20 K4:K5 L9:Q12 L15:Q15 AH15:AH16 T16 T14:AG15 O22:Q38 P13:Q14 L13:N14 S10:S17 AS16:AW16 AS9:AW9 S9:AH9 T10:AH13 U12:AF15 AV10:AW13 AG11:AG15 S22:S30 S31:T39">
    <cfRule type="expression" dxfId="91" priority="548">
      <formula>$E$4=0</formula>
    </cfRule>
  </conditionalFormatting>
  <conditionalFormatting sqref="AH18 R41 AS33:AW33">
    <cfRule type="expression" dxfId="90" priority="562">
      <formula>$E$4=0</formula>
    </cfRule>
  </conditionalFormatting>
  <conditionalFormatting sqref="K5">
    <cfRule type="expression" dxfId="89" priority="564">
      <formula>AND(OR($K$5&lt;300,$K$5&gt;600),$E$4&gt;0)</formula>
    </cfRule>
  </conditionalFormatting>
  <conditionalFormatting sqref="C26">
    <cfRule type="expression" dxfId="88" priority="566">
      <formula>$C$26=$BV$40</formula>
    </cfRule>
  </conditionalFormatting>
  <conditionalFormatting sqref="C26:D26">
    <cfRule type="expression" dxfId="87" priority="567">
      <formula>$C$26=$BV$39</formula>
    </cfRule>
  </conditionalFormatting>
  <conditionalFormatting sqref="C30">
    <cfRule type="expression" dxfId="86" priority="569">
      <formula>$C$30=$BV$43</formula>
    </cfRule>
  </conditionalFormatting>
  <conditionalFormatting sqref="AB3:AC3">
    <cfRule type="expression" dxfId="85" priority="934">
      <formula>$CC$19=FALSE</formula>
    </cfRule>
  </conditionalFormatting>
  <conditionalFormatting sqref="O14">
    <cfRule type="expression" dxfId="84" priority="24">
      <formula>$E$4=0</formula>
    </cfRule>
  </conditionalFormatting>
  <conditionalFormatting sqref="O13">
    <cfRule type="expression" dxfId="83" priority="23">
      <formula>$E$4=0</formula>
    </cfRule>
  </conditionalFormatting>
  <conditionalFormatting sqref="S17 R1:AH2 R20:S20 R6:AH6 S4:AH5 V3:W3 R3:T3 AI1:AW9 Z3:AH3 AI16:AW16 AV10:AW13 S7:AH16 S31:AW32 R40:AW41 S33:AB33 AI33:AW33 R18:AW19 S34:AW39 S21:S30">
    <cfRule type="expression" dxfId="82" priority="22">
      <formula>$N$3=$CE$9</formula>
    </cfRule>
  </conditionalFormatting>
  <conditionalFormatting sqref="T1:AW2 T3 V3:W3 Z3:AW3 T4:AW9 T16:AW16 AV10:AW13 T10:AH15 T31:AW32 T34:AW41 T33:AB33 AI33:AW33 T18:AW19">
    <cfRule type="expression" dxfId="81" priority="20">
      <formula>$N$3=$CE$10</formula>
    </cfRule>
  </conditionalFormatting>
  <conditionalFormatting sqref="R41">
    <cfRule type="expression" dxfId="80" priority="18">
      <formula>$N$3=$CE$11</formula>
    </cfRule>
  </conditionalFormatting>
  <conditionalFormatting sqref="AI16 AI9 AO9:AR9 AO16:AR16">
    <cfRule type="expression" dxfId="79" priority="14">
      <formula>$E$4=0</formula>
    </cfRule>
  </conditionalFormatting>
  <conditionalFormatting sqref="AI33 AO33:AR33">
    <cfRule type="expression" dxfId="78" priority="15">
      <formula>$E$4=0</formula>
    </cfRule>
  </conditionalFormatting>
  <conditionalFormatting sqref="AM16:AN16 AM9:AN9">
    <cfRule type="expression" dxfId="77" priority="10">
      <formula>$E$4=0</formula>
    </cfRule>
  </conditionalFormatting>
  <conditionalFormatting sqref="AM33:AN33">
    <cfRule type="expression" dxfId="76" priority="11">
      <formula>$E$4=0</formula>
    </cfRule>
  </conditionalFormatting>
  <conditionalFormatting sqref="AJ9:AL9 AJ16:AL16">
    <cfRule type="expression" dxfId="75" priority="6">
      <formula>$E$4=0</formula>
    </cfRule>
  </conditionalFormatting>
  <conditionalFormatting sqref="AJ33:AL33">
    <cfRule type="expression" dxfId="74" priority="7">
      <formula>$E$4=0</formula>
    </cfRule>
  </conditionalFormatting>
  <conditionalFormatting sqref="E8">
    <cfRule type="expression" dxfId="73" priority="1052">
      <formula>AND($E$8=$BV$5,$E$7=$AY$48)</formula>
    </cfRule>
  </conditionalFormatting>
  <conditionalFormatting sqref="AI10:AU15">
    <cfRule type="expression" dxfId="72" priority="3">
      <formula>$E$4=0</formula>
    </cfRule>
  </conditionalFormatting>
  <conditionalFormatting sqref="AW15">
    <cfRule type="expression" dxfId="71" priority="2">
      <formula>$E$4=0</formula>
    </cfRule>
  </conditionalFormatting>
  <conditionalFormatting sqref="AV15">
    <cfRule type="expression" dxfId="70" priority="1">
      <formula>$E$4=0</formula>
    </cfRule>
  </conditionalFormatting>
  <dataValidations count="10">
    <dataValidation type="list" allowBlank="1" showInputMessage="1" showErrorMessage="1" sqref="E10">
      <formula1>$BV$18:$BV$19</formula1>
    </dataValidation>
    <dataValidation type="list" allowBlank="1" showInputMessage="1" showErrorMessage="1" sqref="E8">
      <formula1>$BV$5:$BV$6</formula1>
    </dataValidation>
    <dataValidation type="list" allowBlank="1" showInputMessage="1" showErrorMessage="1" sqref="E9">
      <formula1>$BV$9:$BV$10</formula1>
    </dataValidation>
    <dataValidation type="list" allowBlank="1" showInputMessage="1" showErrorMessage="1" sqref="E5">
      <formula1>$BV$33:$BV$37</formula1>
    </dataValidation>
    <dataValidation type="list" allowBlank="1" showInputMessage="1" showErrorMessage="1" sqref="C20:C24">
      <formula1>$BV$13:$BV$15</formula1>
    </dataValidation>
    <dataValidation type="list" allowBlank="1" showInputMessage="1" showErrorMessage="1" sqref="E11">
      <formula1>$BV$49:$BV$50</formula1>
    </dataValidation>
    <dataValidation type="list" allowBlank="1" showInputMessage="1" showErrorMessage="1" sqref="E6">
      <formula1>$BY$5:$BY$6</formula1>
    </dataValidation>
    <dataValidation type="whole" allowBlank="1" showInputMessage="1" showErrorMessage="1" sqref="E12">
      <formula1>150</formula1>
      <formula2>K4</formula2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7:H7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CI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8.5546875" style="54" hidden="1" customWidth="1"/>
    <col min="51" max="51" width="15.6640625" style="54" hidden="1" customWidth="1"/>
    <col min="52" max="53" width="11.21875" style="54" hidden="1" customWidth="1"/>
    <col min="54" max="54" width="11.109375" style="54" hidden="1" customWidth="1"/>
    <col min="55" max="55" width="11.44140625" style="54" hidden="1" customWidth="1"/>
    <col min="56" max="56" width="12.5546875" style="54" hidden="1" customWidth="1"/>
    <col min="57" max="57" width="12.6640625" style="54" hidden="1" customWidth="1"/>
    <col min="58" max="60" width="11.21875" style="54" hidden="1" customWidth="1"/>
    <col min="61" max="61" width="10.88671875" style="54" hidden="1" customWidth="1"/>
    <col min="62" max="62" width="11.44140625" style="54" hidden="1" customWidth="1"/>
    <col min="63" max="63" width="8.5546875" style="54" hidden="1" customWidth="1"/>
    <col min="64" max="64" width="11.21875" style="54" hidden="1" customWidth="1"/>
    <col min="65" max="69" width="8.5546875" style="54" hidden="1" customWidth="1"/>
    <col min="70" max="72" width="14.21875" style="54" hidden="1" customWidth="1"/>
    <col min="73" max="73" width="11.21875" style="54" hidden="1" customWidth="1"/>
    <col min="74" max="74" width="19.44140625" style="54" hidden="1" customWidth="1"/>
    <col min="75" max="75" width="8.88671875" style="54" hidden="1" customWidth="1"/>
    <col min="76" max="76" width="16.77734375" style="54" hidden="1" customWidth="1"/>
    <col min="77" max="77" width="26.77734375" style="54" hidden="1" customWidth="1"/>
    <col min="78" max="78" width="18.5546875" style="54" hidden="1" customWidth="1"/>
    <col min="79" max="87" width="8.88671875" style="54" hidden="1" customWidth="1"/>
    <col min="88" max="90" width="8.88671875" style="54" customWidth="1"/>
    <col min="91" max="16384" width="8.88671875" style="54"/>
  </cols>
  <sheetData>
    <row r="1" spans="1:83" ht="25.05" customHeight="1" x14ac:dyDescent="0.3">
      <c r="B1" s="574" t="s">
        <v>104</v>
      </c>
      <c r="C1" s="574"/>
      <c r="D1" s="574"/>
      <c r="E1" s="574"/>
      <c r="F1" s="574"/>
      <c r="G1" s="574"/>
      <c r="H1" s="574"/>
      <c r="I1" s="149"/>
      <c r="J1" s="574" t="s">
        <v>105</v>
      </c>
      <c r="K1" s="574"/>
      <c r="L1" s="574"/>
      <c r="M1" s="574"/>
      <c r="N1" s="574"/>
      <c r="O1" s="574"/>
      <c r="P1" s="244"/>
      <c r="Q1" s="244"/>
    </row>
    <row r="2" spans="1:83" ht="25.05" customHeight="1" thickBot="1" x14ac:dyDescent="0.35">
      <c r="A2" s="5"/>
      <c r="I2" s="104"/>
      <c r="J2" s="104"/>
      <c r="K2" s="104"/>
      <c r="L2" s="104"/>
      <c r="M2" s="104"/>
      <c r="N2" s="104"/>
      <c r="O2" s="104"/>
      <c r="P2" s="104"/>
      <c r="Q2" s="104"/>
      <c r="R2" s="297"/>
      <c r="S2" s="297"/>
      <c r="T2" s="297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104"/>
      <c r="AY2" s="104"/>
      <c r="AZ2" s="104"/>
      <c r="BA2" s="104"/>
      <c r="BB2" s="104"/>
      <c r="BC2" s="104"/>
      <c r="BD2" s="104"/>
      <c r="BE2" s="104"/>
      <c r="BF2" s="104"/>
      <c r="BI2" s="104"/>
      <c r="BJ2" s="104"/>
      <c r="BK2" s="104"/>
      <c r="BM2" s="104"/>
      <c r="BN2" s="104"/>
      <c r="BO2" s="104"/>
      <c r="BP2" s="104"/>
      <c r="BQ2" s="104"/>
      <c r="BR2" s="104"/>
      <c r="BS2" s="104"/>
      <c r="BT2" s="104"/>
    </row>
    <row r="3" spans="1:83" ht="25.05" customHeight="1" thickBot="1" x14ac:dyDescent="0.35">
      <c r="B3" s="575" t="s">
        <v>121</v>
      </c>
      <c r="C3" s="576"/>
      <c r="D3" s="576"/>
      <c r="E3" s="583">
        <v>2600</v>
      </c>
      <c r="F3" s="583"/>
      <c r="G3" s="583"/>
      <c r="H3" s="584"/>
      <c r="J3" s="592" t="s">
        <v>263</v>
      </c>
      <c r="K3" s="593"/>
      <c r="L3" s="5"/>
      <c r="M3" s="5"/>
      <c r="N3" s="421"/>
      <c r="O3" s="421"/>
      <c r="R3" s="3"/>
      <c r="S3" s="3"/>
      <c r="T3" s="3"/>
      <c r="V3" s="366"/>
      <c r="W3" s="661" t="s">
        <v>417</v>
      </c>
      <c r="X3" s="661"/>
      <c r="Y3" s="661"/>
      <c r="Z3" s="560" t="s">
        <v>418</v>
      </c>
      <c r="AA3" s="560"/>
      <c r="AB3" s="366"/>
      <c r="AC3" s="366"/>
      <c r="AD3" s="5"/>
      <c r="AE3" s="5"/>
      <c r="AF3" s="5"/>
      <c r="AG3" s="5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5"/>
      <c r="AY3" s="5"/>
      <c r="BE3" s="241" t="s">
        <v>418</v>
      </c>
      <c r="BV3" s="106"/>
    </row>
    <row r="4" spans="1:83" ht="25.05" customHeight="1" x14ac:dyDescent="0.3">
      <c r="B4" s="577" t="s">
        <v>120</v>
      </c>
      <c r="C4" s="578"/>
      <c r="D4" s="578"/>
      <c r="E4" s="585">
        <v>1000</v>
      </c>
      <c r="F4" s="585"/>
      <c r="G4" s="585"/>
      <c r="H4" s="586"/>
      <c r="J4" s="295" t="s">
        <v>15</v>
      </c>
      <c r="K4" s="306">
        <f>E3-20</f>
        <v>2580</v>
      </c>
      <c r="L4" s="5"/>
      <c r="M4" s="108"/>
      <c r="N4" s="108"/>
      <c r="O4" s="108"/>
      <c r="P4" s="108"/>
      <c r="Q4" s="108"/>
      <c r="R4" s="533" t="s">
        <v>453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BV4" s="106">
        <v>1</v>
      </c>
      <c r="BX4" s="2"/>
      <c r="BY4" s="1" t="s">
        <v>451</v>
      </c>
      <c r="BZ4" s="1" t="s">
        <v>237</v>
      </c>
      <c r="CA4" s="2">
        <f>IF(E6=BY4,9,8)</f>
        <v>8</v>
      </c>
    </row>
    <row r="5" spans="1:83" ht="25.05" customHeight="1" thickBot="1" x14ac:dyDescent="0.35">
      <c r="B5" s="577" t="s">
        <v>442</v>
      </c>
      <c r="C5" s="578"/>
      <c r="D5" s="578"/>
      <c r="E5" s="525">
        <v>0</v>
      </c>
      <c r="F5" s="525"/>
      <c r="G5" s="525"/>
      <c r="H5" s="526"/>
      <c r="J5" s="298" t="s">
        <v>16</v>
      </c>
      <c r="K5" s="307">
        <f>IF(E8=BV60,(E4-10*E9)/E9,ROUNDDOWN(IF(OR(E11=BV25,E11=BV26),(E4-4*E9)/E9,IF(OR(E11=BV27,E11=BV28),(E4-10*E9)/E9)),0))</f>
        <v>490</v>
      </c>
      <c r="L5" s="5"/>
      <c r="O5" s="5"/>
      <c r="R5" s="534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256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06">
        <v>2</v>
      </c>
      <c r="BX5" s="105"/>
      <c r="BY5" s="1" t="s">
        <v>452</v>
      </c>
      <c r="BZ5" s="1" t="s">
        <v>253</v>
      </c>
      <c r="CA5" s="105"/>
    </row>
    <row r="6" spans="1:83" ht="25.05" customHeight="1" thickBot="1" x14ac:dyDescent="0.35">
      <c r="B6" s="577" t="s">
        <v>236</v>
      </c>
      <c r="C6" s="578"/>
      <c r="D6" s="578"/>
      <c r="E6" s="525" t="s">
        <v>452</v>
      </c>
      <c r="F6" s="525"/>
      <c r="G6" s="525"/>
      <c r="H6" s="526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257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</row>
    <row r="7" spans="1:83" ht="25.05" customHeight="1" x14ac:dyDescent="0.3">
      <c r="B7" s="577" t="s">
        <v>122</v>
      </c>
      <c r="C7" s="578"/>
      <c r="D7" s="578"/>
      <c r="E7" s="525" t="s">
        <v>227</v>
      </c>
      <c r="F7" s="525"/>
      <c r="G7" s="525"/>
      <c r="H7" s="526"/>
      <c r="J7" s="647" t="s">
        <v>181</v>
      </c>
      <c r="K7" s="648"/>
      <c r="L7" s="648"/>
      <c r="M7" s="648"/>
      <c r="N7" s="412"/>
      <c r="O7" s="135"/>
      <c r="P7" s="324"/>
      <c r="Q7" s="324"/>
      <c r="R7" s="258"/>
      <c r="S7" s="194"/>
      <c r="T7" s="358"/>
      <c r="U7" s="660" t="s">
        <v>100</v>
      </c>
      <c r="V7" s="660"/>
      <c r="W7" s="563"/>
      <c r="X7" s="563"/>
      <c r="Y7" s="563"/>
      <c r="Z7" s="563"/>
      <c r="AA7" s="563"/>
      <c r="AB7" s="563"/>
      <c r="AC7" s="563"/>
      <c r="AD7" s="563"/>
      <c r="AE7" s="563"/>
      <c r="AF7" s="563"/>
      <c r="AG7" s="563"/>
      <c r="AH7" s="564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265</v>
      </c>
      <c r="AY7" s="3"/>
      <c r="AZ7" s="185" t="s">
        <v>258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</row>
    <row r="8" spans="1:83" ht="25.05" customHeight="1" x14ac:dyDescent="0.3">
      <c r="B8" s="577" t="s">
        <v>234</v>
      </c>
      <c r="C8" s="578"/>
      <c r="D8" s="578"/>
      <c r="E8" s="525" t="s">
        <v>233</v>
      </c>
      <c r="F8" s="525"/>
      <c r="G8" s="525"/>
      <c r="H8" s="526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193">
        <v>1000</v>
      </c>
      <c r="V8" s="193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V8" s="65" t="s">
        <v>10</v>
      </c>
    </row>
    <row r="9" spans="1:83" ht="25.05" customHeight="1" x14ac:dyDescent="0.35">
      <c r="B9" s="579" t="s">
        <v>124</v>
      </c>
      <c r="C9" s="580"/>
      <c r="D9" s="580"/>
      <c r="E9" s="657">
        <v>2</v>
      </c>
      <c r="F9" s="657"/>
      <c r="G9" s="657"/>
      <c r="H9" s="658"/>
      <c r="J9" s="415" t="s">
        <v>2</v>
      </c>
      <c r="K9" s="238" t="s">
        <v>189</v>
      </c>
      <c r="L9" s="125">
        <f>K4</f>
        <v>2580</v>
      </c>
      <c r="M9" s="126">
        <f>IF(AND(E3&gt;0,E9=BV4),2,IF(AND(E3&gt;0,E9=BV5),4,0))</f>
        <v>4</v>
      </c>
      <c r="N9" s="126"/>
      <c r="O9" s="339">
        <f>IF(L9&gt;2650,M9,M9/2)</f>
        <v>2</v>
      </c>
      <c r="P9" s="269"/>
      <c r="Q9" s="269"/>
      <c r="R9" s="260">
        <f>O9*BT9</f>
        <v>10821.96</v>
      </c>
      <c r="S9" s="255"/>
      <c r="T9" s="320" t="str">
        <f>J9</f>
        <v>вертикальный профиль</v>
      </c>
      <c r="U9" s="276">
        <f>IF($Z$3=$CE$21,AZ9,IF($Z$3=$CE$27,AZ30,IF($Z$3=$CE$28,AZ41,AZ19)))</f>
        <v>0</v>
      </c>
      <c r="V9" s="276">
        <f t="shared" ref="V9:AF9" si="0">IF($Z$3=$CE$21,BA9,IF($Z$3=$CE$27,BA30,IF($Z$3=$CE$28,BA41,BA19)))</f>
        <v>0</v>
      </c>
      <c r="W9" s="276">
        <f t="shared" si="0"/>
        <v>0</v>
      </c>
      <c r="X9" s="276">
        <f t="shared" si="0"/>
        <v>0</v>
      </c>
      <c r="Y9" s="276">
        <f t="shared" si="0"/>
        <v>0</v>
      </c>
      <c r="Z9" s="276">
        <f t="shared" si="0"/>
        <v>0</v>
      </c>
      <c r="AA9" s="276">
        <f t="shared" si="0"/>
        <v>0</v>
      </c>
      <c r="AB9" s="276">
        <f t="shared" si="0"/>
        <v>0</v>
      </c>
      <c r="AC9" s="276">
        <f t="shared" si="0"/>
        <v>0</v>
      </c>
      <c r="AD9" s="276">
        <f t="shared" si="0"/>
        <v>0</v>
      </c>
      <c r="AE9" s="276">
        <f t="shared" si="0"/>
        <v>0</v>
      </c>
      <c r="AF9" s="276">
        <f t="shared" si="0"/>
        <v>2</v>
      </c>
      <c r="AG9" s="123"/>
      <c r="AH9" s="417">
        <f>R9</f>
        <v>10821.96</v>
      </c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362">
        <v>0.69</v>
      </c>
      <c r="AY9" s="3">
        <f>AX9*L9*M9/1000</f>
        <v>7.1207999999999991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2</v>
      </c>
      <c r="BL9" s="185"/>
      <c r="BM9" s="141"/>
      <c r="BN9" s="141"/>
      <c r="BO9" s="141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65" t="s">
        <v>11</v>
      </c>
      <c r="CE9" s="1" t="s">
        <v>455</v>
      </c>
    </row>
    <row r="10" spans="1:83" ht="25.05" customHeight="1" x14ac:dyDescent="0.3">
      <c r="B10" s="579" t="s">
        <v>166</v>
      </c>
      <c r="C10" s="580"/>
      <c r="D10" s="580"/>
      <c r="E10" s="631" t="s">
        <v>168</v>
      </c>
      <c r="F10" s="631"/>
      <c r="G10" s="631"/>
      <c r="H10" s="632"/>
      <c r="J10" s="415" t="s">
        <v>3</v>
      </c>
      <c r="K10" s="238" t="s">
        <v>252</v>
      </c>
      <c r="L10" s="125">
        <f>K5-78</f>
        <v>412</v>
      </c>
      <c r="M10" s="126">
        <f>IF(E4=0,0,E9*2)</f>
        <v>4</v>
      </c>
      <c r="N10" s="401">
        <f t="shared" ref="N10" si="1">L10*M10</f>
        <v>1648</v>
      </c>
      <c r="O10" s="406">
        <f>BM10+IF(BL10&gt;0,1,0)</f>
        <v>1</v>
      </c>
      <c r="P10" s="269"/>
      <c r="Q10" s="269"/>
      <c r="R10" s="260">
        <f>O10*BT10</f>
        <v>3267.15</v>
      </c>
      <c r="S10" s="255"/>
      <c r="T10" s="320" t="str">
        <f t="shared" ref="T10" si="2">J10</f>
        <v>рамка верхняя</v>
      </c>
      <c r="U10" s="276">
        <f t="shared" ref="U10:U12" si="3">IF($Z$3=$CE$21,AZ10,IF($Z$3=$CE$27,AZ31,IF($Z$3=$CE$28,AZ42,AZ20)))</f>
        <v>0</v>
      </c>
      <c r="V10" s="276">
        <f t="shared" ref="V10:V12" si="4">IF($Z$3=$CE$21,BA10,IF($Z$3=$CE$27,BA31,IF($Z$3=$CE$28,BA42,BA20)))</f>
        <v>0</v>
      </c>
      <c r="W10" s="276">
        <f t="shared" ref="W10:W12" si="5">IF($Z$3=$CE$21,BB10,IF($Z$3=$CE$27,BB31,IF($Z$3=$CE$28,BB42,BB20)))</f>
        <v>0</v>
      </c>
      <c r="X10" s="276">
        <f t="shared" ref="X10:X12" si="6">IF($Z$3=$CE$21,BC10,IF($Z$3=$CE$27,BC31,IF($Z$3=$CE$28,BC42,BC20)))</f>
        <v>1</v>
      </c>
      <c r="Y10" s="276">
        <f t="shared" ref="Y10:Y12" si="7">IF($Z$3=$CE$21,BD10,IF($Z$3=$CE$27,BD31,IF($Z$3=$CE$28,BD42,BD20)))</f>
        <v>0</v>
      </c>
      <c r="Z10" s="276">
        <f t="shared" ref="Z10:Z12" si="8">IF($Z$3=$CE$21,BE10,IF($Z$3=$CE$27,BE31,IF($Z$3=$CE$28,BE42,BE20)))</f>
        <v>0</v>
      </c>
      <c r="AA10" s="276">
        <f t="shared" ref="AA10:AA12" si="9">IF($Z$3=$CE$21,BF10,IF($Z$3=$CE$27,BF31,IF($Z$3=$CE$28,BF42,BF20)))</f>
        <v>0</v>
      </c>
      <c r="AB10" s="276">
        <f t="shared" ref="AB10:AB12" si="10">IF($Z$3=$CE$21,BG10,IF($Z$3=$CE$27,BG31,IF($Z$3=$CE$28,BG42,BG20)))</f>
        <v>0</v>
      </c>
      <c r="AC10" s="276">
        <f t="shared" ref="AC10:AC12" si="11">IF($Z$3=$CE$21,BH10,IF($Z$3=$CE$27,BH31,IF($Z$3=$CE$28,BH42,BH20)))</f>
        <v>0</v>
      </c>
      <c r="AD10" s="276">
        <f t="shared" ref="AD10:AD12" si="12">IF($Z$3=$CE$21,BI10,IF($Z$3=$CE$27,BI31,IF($Z$3=$CE$28,BI42,BI20)))</f>
        <v>0</v>
      </c>
      <c r="AE10" s="276">
        <f t="shared" ref="AE10:AE12" si="13">IF($Z$3=$CE$21,BJ10,IF($Z$3=$CE$27,BJ31,IF($Z$3=$CE$28,BJ42,BJ20)))</f>
        <v>0</v>
      </c>
      <c r="AF10" s="276">
        <f t="shared" ref="AF10:AF12" si="14">IF($Z$3=$CE$21,BK10,IF($Z$3=$CE$27,BK31,IF($Z$3=$CE$28,BK42,BK20)))</f>
        <v>0</v>
      </c>
      <c r="AG10" s="401">
        <f>AU10</f>
        <v>2000</v>
      </c>
      <c r="AH10" s="405">
        <f>(U10*0.2+V10*0.25+X10*0.4+Y10*0.5+AA10*0.6+AC10*0.75+AD10*0.8+AE10)*BT10</f>
        <v>1306.8600000000001</v>
      </c>
      <c r="AI10" s="436">
        <f>U10*U8</f>
        <v>0</v>
      </c>
      <c r="AJ10" s="436">
        <f t="shared" ref="AJ10:AT10" si="15">V10*V8</f>
        <v>0</v>
      </c>
      <c r="AK10" s="436">
        <f t="shared" si="15"/>
        <v>0</v>
      </c>
      <c r="AL10" s="436">
        <f t="shared" si="15"/>
        <v>2000</v>
      </c>
      <c r="AM10" s="436">
        <f t="shared" si="15"/>
        <v>0</v>
      </c>
      <c r="AN10" s="436">
        <f t="shared" si="15"/>
        <v>0</v>
      </c>
      <c r="AO10" s="436">
        <f t="shared" si="15"/>
        <v>0</v>
      </c>
      <c r="AP10" s="436">
        <f t="shared" si="15"/>
        <v>0</v>
      </c>
      <c r="AQ10" s="436">
        <f t="shared" si="15"/>
        <v>0</v>
      </c>
      <c r="AR10" s="436">
        <f t="shared" si="15"/>
        <v>0</v>
      </c>
      <c r="AS10" s="436">
        <f t="shared" si="15"/>
        <v>0</v>
      </c>
      <c r="AT10" s="436">
        <f t="shared" si="15"/>
        <v>0</v>
      </c>
      <c r="AU10" s="436">
        <f>SUM(AI10:AT10)</f>
        <v>2000</v>
      </c>
      <c r="AV10" s="436"/>
      <c r="AW10" s="436"/>
      <c r="AX10" s="363">
        <v>0.47399999999999998</v>
      </c>
      <c r="AY10" s="3">
        <f>AX10*L10*M10/1000</f>
        <v>0.78115199999999996</v>
      </c>
      <c r="AZ10" s="141">
        <f>IF(AND(BL10&gt;0,BL10&lt;=1000),1,0)</f>
        <v>0</v>
      </c>
      <c r="BA10" s="143">
        <v>0</v>
      </c>
      <c r="BB10" s="143">
        <v>0</v>
      </c>
      <c r="BC10" s="141">
        <f>IF(AND(BL10&gt;1000,BL10&lt;=2000),1,0)</f>
        <v>1</v>
      </c>
      <c r="BD10" s="143">
        <v>0</v>
      </c>
      <c r="BE10" s="143">
        <v>0</v>
      </c>
      <c r="BF10" s="141">
        <f>IF(AND(BL10&gt;2000,BL10&lt;=3000),1,0)</f>
        <v>0</v>
      </c>
      <c r="BG10" s="143">
        <v>0</v>
      </c>
      <c r="BH10" s="143">
        <v>0</v>
      </c>
      <c r="BI10" s="141">
        <f>IF(AND(BL10&gt;3000,BL10&lt;=4000),1,0)</f>
        <v>0</v>
      </c>
      <c r="BJ10" s="141">
        <f>IF(AND(BL10&gt;4000,BL10&lt;=4950),BM10+1,BM10)</f>
        <v>0</v>
      </c>
      <c r="BK10" s="143">
        <v>0</v>
      </c>
      <c r="BL10" s="185">
        <f>N10-INT($BC$5/L10)*L10*BM10</f>
        <v>1648</v>
      </c>
      <c r="BM10" s="141">
        <f>INT(M10/INT($BC$5/L10))</f>
        <v>0</v>
      </c>
      <c r="BN10" s="141"/>
      <c r="BO10" s="141"/>
      <c r="BP10" s="188"/>
      <c r="BQ10" s="188" t="s">
        <v>259</v>
      </c>
      <c r="BR10" s="189" t="s">
        <v>260</v>
      </c>
      <c r="BS10" s="152"/>
      <c r="BT10" s="3">
        <f t="array" ref="BT10">INDEX(Цены!J:J,MATCH(J10&amp;$E$7,Цены!C:C&amp;Цены!G:G,0))</f>
        <v>3267.15</v>
      </c>
      <c r="BV10" s="65" t="s">
        <v>12</v>
      </c>
      <c r="CE10" s="1" t="s">
        <v>453</v>
      </c>
    </row>
    <row r="11" spans="1:83" ht="25.05" customHeight="1" x14ac:dyDescent="0.3">
      <c r="B11" s="555" t="s">
        <v>158</v>
      </c>
      <c r="C11" s="556"/>
      <c r="D11" s="556"/>
      <c r="E11" s="631" t="s">
        <v>129</v>
      </c>
      <c r="F11" s="631"/>
      <c r="G11" s="631"/>
      <c r="H11" s="632"/>
      <c r="J11" s="133" t="str">
        <f>E6</f>
        <v>рамка средняя 4в1</v>
      </c>
      <c r="K11" s="238" t="str">
        <f>IF(J11=BY4,BZ4,BZ5)</f>
        <v>FA0716.VP500</v>
      </c>
      <c r="L11" s="125">
        <f>IF(AND(E6=BY5,E5&gt;0),K5-78,IF(AND(E6=BY4,E5&gt;0),K5-76,0))</f>
        <v>0</v>
      </c>
      <c r="M11" s="126">
        <f>E5*E9</f>
        <v>0</v>
      </c>
      <c r="N11" s="401">
        <f>L11*M11</f>
        <v>0</v>
      </c>
      <c r="O11" s="406">
        <f>IF(J11=BY5,BM11+IF(BL11&gt;0,1,0),BP11+IF(BO11&gt;0,1,0))</f>
        <v>0</v>
      </c>
      <c r="P11" s="269"/>
      <c r="Q11" s="269"/>
      <c r="R11" s="260">
        <f>O11*BT11</f>
        <v>0</v>
      </c>
      <c r="S11" s="255"/>
      <c r="T11" s="320" t="str">
        <f>J11</f>
        <v>рамка средняя 4в1</v>
      </c>
      <c r="U11" s="276">
        <f t="shared" si="3"/>
        <v>0</v>
      </c>
      <c r="V11" s="276">
        <f t="shared" si="4"/>
        <v>0</v>
      </c>
      <c r="W11" s="276">
        <f t="shared" si="5"/>
        <v>0</v>
      </c>
      <c r="X11" s="276">
        <f t="shared" si="6"/>
        <v>0</v>
      </c>
      <c r="Y11" s="276">
        <f t="shared" si="7"/>
        <v>0</v>
      </c>
      <c r="Z11" s="276">
        <f t="shared" si="8"/>
        <v>0</v>
      </c>
      <c r="AA11" s="276">
        <f t="shared" si="9"/>
        <v>0</v>
      </c>
      <c r="AB11" s="276">
        <f t="shared" si="10"/>
        <v>0</v>
      </c>
      <c r="AC11" s="276">
        <f t="shared" si="11"/>
        <v>0</v>
      </c>
      <c r="AD11" s="276">
        <f t="shared" si="12"/>
        <v>0</v>
      </c>
      <c r="AE11" s="276">
        <f t="shared" si="13"/>
        <v>0</v>
      </c>
      <c r="AF11" s="276">
        <f t="shared" si="14"/>
        <v>0</v>
      </c>
      <c r="AG11" s="401">
        <f t="shared" ref="AG11:AG12" si="16">AU11</f>
        <v>0</v>
      </c>
      <c r="AH11" s="408">
        <f>IF(E6=BY4,AW12,AV12)</f>
        <v>0</v>
      </c>
      <c r="AI11" s="436">
        <f>U11*U8</f>
        <v>0</v>
      </c>
      <c r="AJ11" s="436">
        <f t="shared" ref="AJ11:AT11" si="17">V11*V8</f>
        <v>0</v>
      </c>
      <c r="AK11" s="436">
        <f t="shared" si="17"/>
        <v>0</v>
      </c>
      <c r="AL11" s="436">
        <f t="shared" si="17"/>
        <v>0</v>
      </c>
      <c r="AM11" s="436">
        <f t="shared" si="17"/>
        <v>0</v>
      </c>
      <c r="AN11" s="436">
        <f t="shared" si="17"/>
        <v>0</v>
      </c>
      <c r="AO11" s="436">
        <f t="shared" si="17"/>
        <v>0</v>
      </c>
      <c r="AP11" s="436">
        <f t="shared" si="17"/>
        <v>0</v>
      </c>
      <c r="AQ11" s="436">
        <f t="shared" si="17"/>
        <v>0</v>
      </c>
      <c r="AR11" s="436">
        <f t="shared" si="17"/>
        <v>0</v>
      </c>
      <c r="AS11" s="436">
        <f t="shared" si="17"/>
        <v>0</v>
      </c>
      <c r="AT11" s="436">
        <f t="shared" si="17"/>
        <v>0</v>
      </c>
      <c r="AU11" s="436">
        <f t="shared" ref="AU11:AU12" si="18">SUM(AI11:AT11)</f>
        <v>0</v>
      </c>
      <c r="AV11" s="188" t="s">
        <v>259</v>
      </c>
      <c r="AW11" s="189" t="s">
        <v>260</v>
      </c>
      <c r="AX11" s="363">
        <v>0.58499999999999996</v>
      </c>
      <c r="AY11" s="3">
        <f>AX11*L11*M11/1000</f>
        <v>0</v>
      </c>
      <c r="AZ11" s="190">
        <f>IF(AND(J11=BY5,BL11&gt;0,BL11&lt;=1000),1,0)</f>
        <v>0</v>
      </c>
      <c r="BA11" s="143">
        <v>0</v>
      </c>
      <c r="BB11" s="191">
        <f>IF(AND(J11=BY4,BO11&gt;0,BO11&lt;=1800),1,0)</f>
        <v>0</v>
      </c>
      <c r="BC11" s="190">
        <f>IF(AND(J11=BY5,BL11&gt;1000,BL11&lt;=2000),1,0)</f>
        <v>0</v>
      </c>
      <c r="BD11" s="143">
        <v>0</v>
      </c>
      <c r="BE11" s="191">
        <f>IF(AND(J11=BY4,BO11&gt;1800,BO11&lt;=2700),1,0)</f>
        <v>0</v>
      </c>
      <c r="BF11" s="190">
        <f>IF(AND(J11=BY5,BL11&gt;2000,BL11&lt;=3000),1,0)</f>
        <v>0</v>
      </c>
      <c r="BG11" s="191">
        <f>IF(AND(J11=BY4,BO11&gt;2700,BO11&lt;=3600),1,0)</f>
        <v>0</v>
      </c>
      <c r="BH11" s="143">
        <v>0</v>
      </c>
      <c r="BI11" s="190">
        <f>IF(AND(J11=BY5,BL11&gt;3000,BL11&lt;=4000),1,0)</f>
        <v>0</v>
      </c>
      <c r="BJ11" s="190">
        <f>IF(AND(J11=BY5,BL11&gt;4000,BL11&lt;=4950),BM11+1,BM11)</f>
        <v>0</v>
      </c>
      <c r="BK11" s="191">
        <f>IF(AND(J11=BY4,BO11&gt;3600,BO11&lt;=5350),BP11+1,BP11)</f>
        <v>0</v>
      </c>
      <c r="BL11" s="185">
        <f>IF(E5&lt;&gt;0,N11-INT(BC5/L11)*L11*BM11,0)</f>
        <v>0</v>
      </c>
      <c r="BM11" s="141">
        <f>IF(AND(E6=BY5,E5&lt;&gt;0),INT(M11/INT(BC5/L11)),0)</f>
        <v>0</v>
      </c>
      <c r="BN11" s="141"/>
      <c r="BO11" s="141">
        <f>IF(E5&lt;&gt;0,N11-INT(BC5/L11)*L11*BP11,0)</f>
        <v>0</v>
      </c>
      <c r="BP11" s="188">
        <f>IF(AND(E6=BY5,E5&lt;&gt;0),INT(M11/INT(BC5/L11)),0)</f>
        <v>0</v>
      </c>
      <c r="BQ11" s="188">
        <f>(U11*0.2+X11*0.4+AA11*0.6+AD11*0.8+AE11)*BT11</f>
        <v>0</v>
      </c>
      <c r="BR11" s="188">
        <f>(W11*0.34+Z11*0.5+AB11*0.67+AF11)*BT11</f>
        <v>0</v>
      </c>
      <c r="BS11" s="144"/>
      <c r="BT11" s="3">
        <f t="array" ref="BT11">INDEX(Цены!J:J,MATCH(J11&amp;$E$7,Цены!C:C&amp;Цены!G:G,0))</f>
        <v>3828.23</v>
      </c>
      <c r="BV11" s="5"/>
      <c r="CE11" s="1" t="s">
        <v>454</v>
      </c>
    </row>
    <row r="12" spans="1:83" ht="25.05" customHeight="1" thickBot="1" x14ac:dyDescent="0.4">
      <c r="B12" s="649" t="s">
        <v>170</v>
      </c>
      <c r="C12" s="650"/>
      <c r="D12" s="650"/>
      <c r="E12" s="663">
        <v>0</v>
      </c>
      <c r="F12" s="663"/>
      <c r="G12" s="663"/>
      <c r="H12" s="664"/>
      <c r="J12" s="415" t="s">
        <v>17</v>
      </c>
      <c r="K12" s="238" t="s">
        <v>199</v>
      </c>
      <c r="L12" s="125">
        <f>E13</f>
        <v>540</v>
      </c>
      <c r="M12" s="126">
        <f>E9</f>
        <v>2</v>
      </c>
      <c r="N12" s="401">
        <f>L12*M12</f>
        <v>1080</v>
      </c>
      <c r="O12" s="406">
        <f>CEILING((L12*M12)/5400,1)</f>
        <v>1</v>
      </c>
      <c r="P12" s="269"/>
      <c r="Q12" s="269"/>
      <c r="R12" s="260">
        <f>O12*BT12</f>
        <v>1331.09</v>
      </c>
      <c r="S12" s="255"/>
      <c r="T12" s="320" t="str">
        <f>J12</f>
        <v>ручка-рейлинг</v>
      </c>
      <c r="U12" s="276">
        <f t="shared" si="3"/>
        <v>0</v>
      </c>
      <c r="V12" s="276">
        <f t="shared" si="4"/>
        <v>0</v>
      </c>
      <c r="W12" s="276">
        <f t="shared" si="5"/>
        <v>0</v>
      </c>
      <c r="X12" s="276">
        <f t="shared" si="6"/>
        <v>0</v>
      </c>
      <c r="Y12" s="276">
        <f t="shared" si="7"/>
        <v>0</v>
      </c>
      <c r="Z12" s="276">
        <f t="shared" si="8"/>
        <v>1</v>
      </c>
      <c r="AA12" s="276">
        <f t="shared" si="9"/>
        <v>0</v>
      </c>
      <c r="AB12" s="276">
        <f t="shared" si="10"/>
        <v>0</v>
      </c>
      <c r="AC12" s="276">
        <f t="shared" si="11"/>
        <v>0</v>
      </c>
      <c r="AD12" s="276">
        <f t="shared" si="12"/>
        <v>0</v>
      </c>
      <c r="AE12" s="276">
        <f t="shared" si="13"/>
        <v>0</v>
      </c>
      <c r="AF12" s="276">
        <f t="shared" si="14"/>
        <v>0</v>
      </c>
      <c r="AG12" s="401">
        <f t="shared" si="16"/>
        <v>2700</v>
      </c>
      <c r="AH12" s="360">
        <f>(Z12*0.5+AF12)*BT12</f>
        <v>665.54499999999996</v>
      </c>
      <c r="AI12" s="436">
        <f>U12*U8</f>
        <v>0</v>
      </c>
      <c r="AJ12" s="436">
        <f t="shared" ref="AJ12:AT12" si="19">V12*V8</f>
        <v>0</v>
      </c>
      <c r="AK12" s="436">
        <f t="shared" si="19"/>
        <v>0</v>
      </c>
      <c r="AL12" s="436">
        <f t="shared" si="19"/>
        <v>0</v>
      </c>
      <c r="AM12" s="436">
        <f t="shared" si="19"/>
        <v>0</v>
      </c>
      <c r="AN12" s="436">
        <f t="shared" si="19"/>
        <v>2700</v>
      </c>
      <c r="AO12" s="436">
        <f t="shared" si="19"/>
        <v>0</v>
      </c>
      <c r="AP12" s="436">
        <f t="shared" si="19"/>
        <v>0</v>
      </c>
      <c r="AQ12" s="436">
        <f t="shared" si="19"/>
        <v>0</v>
      </c>
      <c r="AR12" s="436">
        <f t="shared" si="19"/>
        <v>0</v>
      </c>
      <c r="AS12" s="436">
        <f t="shared" si="19"/>
        <v>0</v>
      </c>
      <c r="AT12" s="436">
        <f t="shared" si="19"/>
        <v>0</v>
      </c>
      <c r="AU12" s="436">
        <f t="shared" si="18"/>
        <v>2700</v>
      </c>
      <c r="AV12" s="256">
        <f>(U11*0.2+V11*0.25+X11*0.4+Y11*0.5+AA11*0.6+AC11*0.75+AD11*0.8+AE11)*BT11</f>
        <v>0</v>
      </c>
      <c r="AW12" s="256">
        <f>(W11*0.34+Z11*0.5+AB11*0.67+AF11)*BT11</f>
        <v>0</v>
      </c>
      <c r="AX12" s="364">
        <v>0.33600000000000002</v>
      </c>
      <c r="AY12" s="3">
        <f>AX12*L11*M11/1000</f>
        <v>0</v>
      </c>
      <c r="AZ12" s="192">
        <v>0</v>
      </c>
      <c r="BA12" s="192">
        <v>0</v>
      </c>
      <c r="BB12" s="192">
        <v>0</v>
      </c>
      <c r="BC12" s="192">
        <v>0</v>
      </c>
      <c r="BD12" s="192">
        <v>0</v>
      </c>
      <c r="BE12" s="141">
        <f>IF(AND(BO12&gt;0,BO12&lt;=2700),1,0)</f>
        <v>1</v>
      </c>
      <c r="BF12" s="192">
        <v>0</v>
      </c>
      <c r="BG12" s="192">
        <v>0</v>
      </c>
      <c r="BH12" s="192">
        <v>0</v>
      </c>
      <c r="BI12" s="192">
        <v>0</v>
      </c>
      <c r="BJ12" s="192">
        <v>0</v>
      </c>
      <c r="BK12" s="141">
        <f>IF(AND(BO12&gt;2700,BO12&lt;=5350),BP12+1,BP12)</f>
        <v>0</v>
      </c>
      <c r="BL12" s="185"/>
      <c r="BM12" s="141"/>
      <c r="BN12" s="185"/>
      <c r="BO12" s="185">
        <f>N12-BC7*BM12</f>
        <v>1080</v>
      </c>
      <c r="BP12" s="185">
        <f>INT(N12/BC7)</f>
        <v>0</v>
      </c>
      <c r="BQ12" s="185"/>
      <c r="BR12" s="185"/>
      <c r="BS12" s="5"/>
      <c r="BT12" s="3">
        <f t="array" ref="BT12">IFERROR(INDEX(Цены!J:J,MATCH(J12&amp;$E$7,Цены!C:C&amp;Цены!G:G,0)),Цены!J38)</f>
        <v>1331.09</v>
      </c>
      <c r="BV12" s="5"/>
    </row>
    <row r="13" spans="1:83" ht="25.05" customHeight="1" thickBot="1" x14ac:dyDescent="0.35">
      <c r="B13" s="649" t="s">
        <v>171</v>
      </c>
      <c r="C13" s="650"/>
      <c r="D13" s="650"/>
      <c r="E13" s="665">
        <v>540</v>
      </c>
      <c r="F13" s="665"/>
      <c r="G13" s="665"/>
      <c r="H13" s="666"/>
      <c r="J13" s="264"/>
      <c r="K13" s="265"/>
      <c r="L13" s="265"/>
      <c r="M13" s="265"/>
      <c r="N13" s="265"/>
      <c r="O13" s="266"/>
      <c r="P13" s="245"/>
      <c r="Q13" s="245"/>
      <c r="R13" s="134">
        <f>SUM(R9:R12)</f>
        <v>15420.199999999999</v>
      </c>
      <c r="S13" s="274"/>
      <c r="T13" s="359"/>
      <c r="U13" s="659" t="s">
        <v>103</v>
      </c>
      <c r="V13" s="659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1"/>
      <c r="AH13" s="134">
        <f>SUM(AH9:AH12)</f>
        <v>12794.365</v>
      </c>
      <c r="AI13" s="447"/>
      <c r="AJ13" s="447"/>
      <c r="AK13" s="447"/>
      <c r="AL13" s="447"/>
      <c r="AM13" s="447"/>
      <c r="AN13" s="451"/>
      <c r="AO13" s="447"/>
      <c r="AP13" s="447"/>
      <c r="AQ13" s="447"/>
      <c r="AR13" s="447"/>
      <c r="AS13" s="447"/>
      <c r="AT13" s="447"/>
      <c r="AU13" s="447"/>
      <c r="AV13" s="447"/>
      <c r="AW13" s="447"/>
      <c r="AX13" s="367">
        <v>0.16900000000000001</v>
      </c>
      <c r="AY13" s="3">
        <f>AX13*L12*M12/1000</f>
        <v>0.18252000000000002</v>
      </c>
      <c r="AZ13" s="5"/>
      <c r="BA13" s="5"/>
      <c r="BB13" s="5"/>
      <c r="BC13" s="5"/>
      <c r="BD13" s="5"/>
      <c r="BE13" s="241" t="s">
        <v>424</v>
      </c>
      <c r="BF13" s="5"/>
      <c r="BI13" s="5"/>
      <c r="BJ13" s="5"/>
      <c r="BK13" s="5"/>
      <c r="BM13" s="5"/>
      <c r="BN13" s="5"/>
      <c r="BO13" s="5"/>
      <c r="BP13" s="5"/>
      <c r="BQ13" s="5"/>
      <c r="BR13" s="5"/>
      <c r="BS13" s="5"/>
      <c r="BT13" s="3"/>
    </row>
    <row r="14" spans="1:83" ht="25.05" customHeight="1" thickBot="1" x14ac:dyDescent="0.35">
      <c r="B14" s="651" t="s">
        <v>176</v>
      </c>
      <c r="C14" s="652"/>
      <c r="D14" s="652"/>
      <c r="E14" s="600" t="s">
        <v>99</v>
      </c>
      <c r="F14" s="600"/>
      <c r="G14" s="600"/>
      <c r="H14" s="601"/>
      <c r="J14" s="109"/>
      <c r="K14" s="5"/>
      <c r="L14" s="5"/>
      <c r="M14" s="5"/>
      <c r="N14" s="5"/>
      <c r="O14" s="11"/>
      <c r="S14" s="278"/>
      <c r="AI14" s="436"/>
      <c r="AJ14" s="436"/>
      <c r="AK14" s="436"/>
      <c r="AL14" s="436"/>
      <c r="AM14" s="436"/>
      <c r="AN14" s="451"/>
      <c r="AO14" s="436"/>
      <c r="AP14" s="436"/>
      <c r="AQ14" s="436"/>
      <c r="AR14" s="436"/>
      <c r="AS14" s="436"/>
      <c r="AT14" s="436"/>
      <c r="AU14" s="436"/>
      <c r="AV14" s="436"/>
      <c r="AW14" s="436"/>
      <c r="AY14" s="54">
        <f>IF(E6=BY4,AY9+AY10+AY12+AY13,AY9+AY10+AY11+AY13)</f>
        <v>8.0844719999999981</v>
      </c>
      <c r="BT14" s="3"/>
    </row>
    <row r="15" spans="1:83" ht="25.05" customHeight="1" thickBot="1" x14ac:dyDescent="0.35">
      <c r="J15" s="413"/>
      <c r="K15" s="400"/>
      <c r="L15" s="400"/>
      <c r="M15" s="400"/>
      <c r="N15" s="400"/>
      <c r="O15" s="49"/>
      <c r="P15" s="324"/>
      <c r="Q15" s="324"/>
      <c r="R15" s="280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662" t="s">
        <v>102</v>
      </c>
      <c r="AD15" s="662"/>
      <c r="AE15" s="662"/>
      <c r="AF15" s="662"/>
      <c r="AG15" s="662"/>
      <c r="AH15" s="263">
        <f>AH13+R36+H27</f>
        <v>21052.745000000003</v>
      </c>
      <c r="AI15" s="434"/>
      <c r="AJ15" s="434"/>
      <c r="AK15" s="434"/>
      <c r="AL15" s="434"/>
      <c r="AM15" s="434"/>
      <c r="AN15" s="451"/>
      <c r="AO15" s="434"/>
      <c r="AP15" s="434"/>
      <c r="AQ15" s="434"/>
      <c r="AR15" s="434"/>
      <c r="AS15" s="434"/>
      <c r="AT15" s="434"/>
      <c r="AU15" s="434"/>
      <c r="AV15" s="434"/>
      <c r="AW15" s="434"/>
      <c r="AX15" s="3"/>
      <c r="AY15" s="289">
        <f>AY14/E9</f>
        <v>4.0422359999999991</v>
      </c>
      <c r="AZ15" s="141" t="s">
        <v>256</v>
      </c>
      <c r="BA15" s="141"/>
      <c r="BB15" s="141"/>
      <c r="BC15" s="185">
        <v>5000</v>
      </c>
      <c r="BD15" s="185"/>
      <c r="BE15" s="185"/>
      <c r="BF15" s="185"/>
      <c r="BG15" s="185"/>
      <c r="BH15" s="185"/>
      <c r="BI15" s="185"/>
      <c r="BJ15" s="185"/>
      <c r="BK15" s="185"/>
      <c r="BL15" s="185"/>
      <c r="BM15" s="186"/>
      <c r="BN15" s="186"/>
      <c r="BO15" s="186"/>
      <c r="BP15" s="186"/>
      <c r="BQ15" s="186"/>
      <c r="BR15" s="186"/>
      <c r="BS15" s="6"/>
      <c r="BT15" s="3"/>
      <c r="BV15" s="48">
        <v>0</v>
      </c>
    </row>
    <row r="16" spans="1:83" ht="25.05" customHeight="1" thickBot="1" x14ac:dyDescent="0.35">
      <c r="J16" s="110"/>
      <c r="K16" s="9"/>
      <c r="L16" s="9"/>
      <c r="M16" s="5"/>
      <c r="N16" s="5"/>
      <c r="O16" s="55"/>
      <c r="P16" s="9"/>
      <c r="Q16" s="9"/>
      <c r="R16" s="9"/>
      <c r="S16" s="9"/>
      <c r="T16" s="313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451"/>
      <c r="AJ16" s="451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  <c r="AV16" s="451"/>
      <c r="AW16" s="451"/>
      <c r="AX16" s="6"/>
      <c r="AZ16" s="141" t="s">
        <v>257</v>
      </c>
      <c r="BA16" s="141"/>
      <c r="BB16" s="141"/>
      <c r="BC16" s="141">
        <v>5075</v>
      </c>
      <c r="BD16" s="185"/>
      <c r="BE16" s="141"/>
      <c r="BF16" s="141"/>
      <c r="BG16" s="141"/>
      <c r="BH16" s="141"/>
      <c r="BI16" s="141"/>
      <c r="BJ16" s="141"/>
      <c r="BK16" s="141"/>
      <c r="BL16" s="141"/>
      <c r="BM16" s="186"/>
      <c r="BN16" s="186"/>
      <c r="BO16" s="186"/>
      <c r="BP16" s="186"/>
      <c r="BQ16" s="186"/>
      <c r="BR16" s="186"/>
      <c r="BS16" s="6"/>
      <c r="BT16" s="6"/>
      <c r="BV16" s="48">
        <v>1</v>
      </c>
    </row>
    <row r="17" spans="2:84" ht="25.05" customHeight="1" thickBot="1" x14ac:dyDescent="0.35">
      <c r="B17" s="58"/>
      <c r="C17" s="59"/>
      <c r="D17" s="59"/>
      <c r="E17" s="59"/>
      <c r="F17" s="59"/>
      <c r="G17" s="59"/>
      <c r="H17" s="60"/>
      <c r="I17" s="76"/>
      <c r="J17" s="640" t="s">
        <v>180</v>
      </c>
      <c r="K17" s="594"/>
      <c r="L17" s="594"/>
      <c r="M17" s="400"/>
      <c r="N17" s="5"/>
      <c r="O17" s="11"/>
      <c r="R17" s="281"/>
      <c r="S17" s="18"/>
      <c r="T17" s="314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434"/>
      <c r="AJ17" s="434"/>
      <c r="AK17" s="434"/>
      <c r="AL17" s="434"/>
      <c r="AM17" s="434"/>
      <c r="AN17" s="434"/>
      <c r="AO17" s="434"/>
      <c r="AP17" s="434"/>
      <c r="AQ17" s="434"/>
      <c r="AR17" s="434"/>
      <c r="AS17" s="434"/>
      <c r="AT17" s="434"/>
      <c r="AU17" s="434"/>
      <c r="AV17" s="434"/>
      <c r="AW17" s="434"/>
      <c r="AX17" s="5"/>
      <c r="AY17" s="5"/>
      <c r="AZ17" s="185" t="s">
        <v>258</v>
      </c>
      <c r="BA17" s="185"/>
      <c r="BB17" s="185"/>
      <c r="BC17" s="141">
        <v>5400</v>
      </c>
      <c r="BD17" s="185"/>
      <c r="BE17" s="141"/>
      <c r="BF17" s="141"/>
      <c r="BG17" s="141"/>
      <c r="BH17" s="141"/>
      <c r="BI17" s="141"/>
      <c r="BJ17" s="141"/>
      <c r="BK17" s="141"/>
      <c r="BL17" s="141"/>
      <c r="BM17" s="186"/>
      <c r="BN17" s="186"/>
      <c r="BO17" s="186"/>
      <c r="BP17" s="186"/>
      <c r="BQ17" s="186"/>
      <c r="BR17" s="186"/>
      <c r="BS17" s="6"/>
      <c r="BT17" s="6"/>
      <c r="BV17" s="48">
        <v>2</v>
      </c>
      <c r="CF17" s="1"/>
    </row>
    <row r="18" spans="2:84" ht="25.05" customHeight="1" thickBot="1" x14ac:dyDescent="0.4">
      <c r="B18" s="61" t="s">
        <v>107</v>
      </c>
      <c r="C18" s="62">
        <f>E5+1</f>
        <v>1</v>
      </c>
      <c r="D18" s="98"/>
      <c r="E18" s="98"/>
      <c r="F18" s="98"/>
      <c r="G18" s="98"/>
      <c r="H18" s="64"/>
      <c r="I18" s="76"/>
      <c r="J18" s="590" t="s">
        <v>0</v>
      </c>
      <c r="K18" s="591"/>
      <c r="L18" s="591"/>
      <c r="M18" s="591"/>
      <c r="N18" s="396" t="s">
        <v>1</v>
      </c>
      <c r="O18" s="239" t="s">
        <v>8</v>
      </c>
      <c r="P18" s="140"/>
      <c r="Q18" s="140"/>
      <c r="R18" s="261" t="s">
        <v>24</v>
      </c>
      <c r="S18" s="140"/>
      <c r="T18" s="116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9"/>
      <c r="AH18" s="303"/>
      <c r="AI18" s="435"/>
      <c r="AJ18" s="435"/>
      <c r="AK18" s="435"/>
      <c r="AL18" s="435"/>
      <c r="AM18" s="435"/>
      <c r="AN18" s="435"/>
      <c r="AO18" s="435"/>
      <c r="AP18" s="435"/>
      <c r="AQ18" s="435"/>
      <c r="AR18" s="435"/>
      <c r="AS18" s="435"/>
      <c r="AT18" s="435"/>
      <c r="AU18" s="435"/>
      <c r="AV18" s="435"/>
      <c r="AW18" s="435"/>
      <c r="AX18" s="5"/>
      <c r="AY18" s="5"/>
      <c r="AZ18" s="96">
        <v>1000</v>
      </c>
      <c r="BA18" s="96">
        <v>1250</v>
      </c>
      <c r="BB18" s="96">
        <v>1800</v>
      </c>
      <c r="BC18" s="96">
        <v>2000</v>
      </c>
      <c r="BD18" s="96">
        <v>2500</v>
      </c>
      <c r="BE18" s="96">
        <v>2700</v>
      </c>
      <c r="BF18" s="96">
        <v>3000</v>
      </c>
      <c r="BG18" s="96">
        <v>3600</v>
      </c>
      <c r="BH18" s="96">
        <v>3750</v>
      </c>
      <c r="BI18" s="96">
        <v>4000</v>
      </c>
      <c r="BJ18" s="96">
        <v>5000</v>
      </c>
      <c r="BK18" s="142">
        <v>5400</v>
      </c>
      <c r="BL18" s="187"/>
      <c r="BM18" s="186"/>
      <c r="BN18" s="186"/>
      <c r="BO18" s="186"/>
      <c r="BP18" s="186"/>
      <c r="BQ18" s="186"/>
      <c r="BR18" s="186"/>
      <c r="BS18" s="6"/>
      <c r="BT18" s="6"/>
      <c r="BV18" s="48">
        <v>3</v>
      </c>
      <c r="CF18" s="1"/>
    </row>
    <row r="19" spans="2:84" ht="25.05" customHeight="1" x14ac:dyDescent="0.3">
      <c r="B19" s="66"/>
      <c r="C19" s="67"/>
      <c r="D19" s="67"/>
      <c r="E19" s="67"/>
      <c r="F19" s="67"/>
      <c r="G19" s="67"/>
      <c r="H19" s="68"/>
      <c r="J19" s="655" t="s">
        <v>52</v>
      </c>
      <c r="K19" s="656"/>
      <c r="L19" s="656"/>
      <c r="M19" s="656"/>
      <c r="N19" s="238" t="s">
        <v>200</v>
      </c>
      <c r="O19" s="284">
        <f>IF(E8=BV59,E9,0)</f>
        <v>0</v>
      </c>
      <c r="P19" s="270"/>
      <c r="Q19" s="270"/>
      <c r="R19" s="287">
        <f>O19*Цены!J123</f>
        <v>0</v>
      </c>
      <c r="S19" s="273"/>
      <c r="T19" s="310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74"/>
      <c r="AH19" s="274"/>
      <c r="AI19" s="446"/>
      <c r="AJ19" s="446"/>
      <c r="AK19" s="446"/>
      <c r="AL19" s="446"/>
      <c r="AM19" s="446"/>
      <c r="AN19" s="446"/>
      <c r="AO19" s="446"/>
      <c r="AP19" s="446"/>
      <c r="AQ19" s="446"/>
      <c r="AR19" s="446"/>
      <c r="AS19" s="446"/>
      <c r="AT19" s="446"/>
      <c r="AU19" s="446"/>
      <c r="AV19" s="446"/>
      <c r="AW19" s="446"/>
      <c r="AX19" s="5"/>
      <c r="AY19" s="5"/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315">
        <f>BK9</f>
        <v>2</v>
      </c>
      <c r="BL19" s="185"/>
      <c r="BM19" s="141"/>
      <c r="BN19" s="141"/>
      <c r="BO19" s="141"/>
      <c r="BP19" s="188"/>
      <c r="BQ19" s="188"/>
      <c r="BR19" s="188"/>
      <c r="BS19" s="144"/>
      <c r="BT19" s="144"/>
      <c r="BV19" s="48">
        <v>4</v>
      </c>
      <c r="CF19" s="1"/>
    </row>
    <row r="20" spans="2:84" ht="25.05" customHeight="1" x14ac:dyDescent="0.3">
      <c r="B20" s="66"/>
      <c r="C20" s="67"/>
      <c r="D20" s="67"/>
      <c r="E20" s="67"/>
      <c r="F20" s="67"/>
      <c r="G20" s="67"/>
      <c r="H20" s="68"/>
      <c r="J20" s="655" t="s">
        <v>71</v>
      </c>
      <c r="K20" s="656"/>
      <c r="L20" s="656"/>
      <c r="M20" s="656"/>
      <c r="N20" s="238" t="s">
        <v>201</v>
      </c>
      <c r="O20" s="284">
        <f>IF(E10=BV33,E9,0)</f>
        <v>0</v>
      </c>
      <c r="P20" s="270"/>
      <c r="Q20" s="270"/>
      <c r="R20" s="287">
        <f>O20*Цены!J158</f>
        <v>0</v>
      </c>
      <c r="S20" s="273"/>
      <c r="T20" s="310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428"/>
      <c r="AH20" s="426"/>
      <c r="AI20" s="436"/>
      <c r="AJ20" s="436"/>
      <c r="AK20" s="436"/>
      <c r="AL20" s="436"/>
      <c r="AM20" s="436"/>
      <c r="AN20" s="436"/>
      <c r="AO20" s="436"/>
      <c r="AP20" s="436"/>
      <c r="AQ20" s="436"/>
      <c r="AR20" s="436"/>
      <c r="AS20" s="436"/>
      <c r="AT20" s="436"/>
      <c r="AU20" s="436"/>
      <c r="AV20" s="436"/>
      <c r="AW20" s="436"/>
      <c r="AX20" s="5"/>
      <c r="AY20" s="5"/>
      <c r="AZ20" s="143">
        <v>0</v>
      </c>
      <c r="BA20" s="141">
        <f>IF(AND(BL20&gt;0,BL20&lt;=1250),1,0)</f>
        <v>0</v>
      </c>
      <c r="BB20" s="143">
        <v>0</v>
      </c>
      <c r="BC20" s="143">
        <v>0</v>
      </c>
      <c r="BD20" s="141">
        <f>IF(AND(BL20&gt;1250,BL20&lt;=2500),1,0)</f>
        <v>1</v>
      </c>
      <c r="BE20" s="143">
        <v>0</v>
      </c>
      <c r="BF20" s="143">
        <v>0</v>
      </c>
      <c r="BG20" s="143">
        <v>0</v>
      </c>
      <c r="BH20" s="141">
        <f>IF(AND(BL20&gt;2500,BL20&lt;=3750),1,0)</f>
        <v>0</v>
      </c>
      <c r="BI20" s="143">
        <v>0</v>
      </c>
      <c r="BJ20" s="141">
        <f>IF(AND(BL20&gt;4000,BL20&lt;=4950),BM20+1,BM20)</f>
        <v>0</v>
      </c>
      <c r="BK20" s="143">
        <v>0</v>
      </c>
      <c r="BL20" s="185">
        <f>BL10</f>
        <v>1648</v>
      </c>
      <c r="BM20" s="185">
        <f>BM10</f>
        <v>0</v>
      </c>
      <c r="BN20" s="141"/>
      <c r="BO20" s="141"/>
      <c r="BP20" s="188"/>
      <c r="BQ20" s="188" t="s">
        <v>259</v>
      </c>
      <c r="BR20" s="189" t="s">
        <v>260</v>
      </c>
      <c r="BS20" s="152"/>
      <c r="BT20" s="152"/>
    </row>
    <row r="21" spans="2:84" ht="25.05" customHeight="1" x14ac:dyDescent="0.3">
      <c r="B21" s="69" t="s">
        <v>108</v>
      </c>
      <c r="C21" s="328" t="s">
        <v>109</v>
      </c>
      <c r="D21" s="70" t="s">
        <v>78</v>
      </c>
      <c r="E21" s="328" t="s">
        <v>110</v>
      </c>
      <c r="F21" s="328" t="s">
        <v>111</v>
      </c>
      <c r="G21" s="328" t="s">
        <v>127</v>
      </c>
      <c r="H21" s="71" t="s">
        <v>128</v>
      </c>
      <c r="J21" s="548" t="s">
        <v>147</v>
      </c>
      <c r="K21" s="549"/>
      <c r="L21" s="549"/>
      <c r="M21" s="549"/>
      <c r="N21" s="238" t="s">
        <v>203</v>
      </c>
      <c r="O21" s="406">
        <f>IF(E10=BV34,E9,0)</f>
        <v>0</v>
      </c>
      <c r="P21" s="249"/>
      <c r="Q21" s="249"/>
      <c r="R21" s="287">
        <f>O21*Цены!J176</f>
        <v>0</v>
      </c>
      <c r="S21" s="273"/>
      <c r="T21" s="310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428"/>
      <c r="AH21" s="426"/>
      <c r="AI21" s="436"/>
      <c r="AJ21" s="436"/>
      <c r="AK21" s="436"/>
      <c r="AL21" s="436"/>
      <c r="AM21" s="436"/>
      <c r="AN21" s="436"/>
      <c r="AO21" s="436"/>
      <c r="AP21" s="436"/>
      <c r="AQ21" s="436"/>
      <c r="AR21" s="436"/>
      <c r="AS21" s="436"/>
      <c r="AT21" s="436"/>
      <c r="AU21" s="436"/>
      <c r="AV21" s="436"/>
      <c r="AW21" s="436"/>
      <c r="AX21" s="5"/>
      <c r="AY21" s="5"/>
      <c r="AZ21" s="143">
        <v>0</v>
      </c>
      <c r="BA21" s="190">
        <f>IF(AND(J11=BY5,BL21&gt;0,BL21&lt;=1250),1,0)</f>
        <v>0</v>
      </c>
      <c r="BB21" s="191">
        <f>IF(AND(J11=BY4,BO21&gt;0,BO21&lt;=1800),1,0)</f>
        <v>0</v>
      </c>
      <c r="BC21" s="143">
        <v>0</v>
      </c>
      <c r="BD21" s="190">
        <f>IF(AND(J11=BY5,BL21&gt;1250,BL21&lt;=2500),1,0)</f>
        <v>0</v>
      </c>
      <c r="BE21" s="191">
        <f>IF(AND(J11=BY4,BO21&gt;1800,BO21&lt;=2700),1,0)</f>
        <v>0</v>
      </c>
      <c r="BF21" s="143">
        <v>0</v>
      </c>
      <c r="BG21" s="191">
        <f>IF(AND(J11=BY4,BO21&gt;2700,BO21&lt;=3600),1,0)</f>
        <v>0</v>
      </c>
      <c r="BH21" s="190">
        <f>IF(AND(J11=BY5,BL21&gt;2500,BL21&lt;=3750),1,0)</f>
        <v>0</v>
      </c>
      <c r="BI21" s="143">
        <v>0</v>
      </c>
      <c r="BJ21" s="190">
        <f>IF(AND(J11=BY5,BL21&gt;4000,BL21&lt;=4950),BM21+1,BM21)</f>
        <v>0</v>
      </c>
      <c r="BK21" s="191">
        <f>IF(AND(J11=BY4,BO21&gt;3600,BO21&lt;=5350),BP21+1,BP21)</f>
        <v>0</v>
      </c>
      <c r="BL21" s="185">
        <f>BL11</f>
        <v>0</v>
      </c>
      <c r="BM21" s="185">
        <f>BM11</f>
        <v>0</v>
      </c>
      <c r="BN21" s="185"/>
      <c r="BO21" s="185">
        <f>BO11</f>
        <v>0</v>
      </c>
      <c r="BP21" s="185">
        <f>BP11</f>
        <v>0</v>
      </c>
      <c r="BQ21" s="188">
        <f>(V21*0.25+Y21*0.5+AC21*0.75+AE21)*BT11</f>
        <v>0</v>
      </c>
      <c r="BR21" s="188">
        <f>(W21*0.34+Z21*0.5+AB21*0.67+AF21)*BT11</f>
        <v>0</v>
      </c>
      <c r="BS21" s="144"/>
      <c r="BT21" s="144"/>
      <c r="BV21" s="79" t="s">
        <v>118</v>
      </c>
      <c r="CE21" s="1" t="s">
        <v>418</v>
      </c>
    </row>
    <row r="22" spans="2:84" ht="25.05" customHeight="1" x14ac:dyDescent="0.3">
      <c r="B22" s="72" t="s">
        <v>112</v>
      </c>
      <c r="C22" s="15" t="s">
        <v>12</v>
      </c>
      <c r="D22" s="95">
        <v>0</v>
      </c>
      <c r="E22" s="16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73">
        <f>IF(C22=$BV$10,$K$5-63,IF(C22=$BV$9,$K$5-62,$K$5-60))</f>
        <v>427</v>
      </c>
      <c r="G22" s="74">
        <f>$E$9</f>
        <v>2</v>
      </c>
      <c r="H22" s="75">
        <f>E22*F22*D22*G22/1000000</f>
        <v>0</v>
      </c>
      <c r="J22" s="548" t="s">
        <v>149</v>
      </c>
      <c r="K22" s="549"/>
      <c r="L22" s="549"/>
      <c r="M22" s="549"/>
      <c r="N22" s="238" t="s">
        <v>202</v>
      </c>
      <c r="O22" s="406">
        <f>IF(E10=BV35,E9,0)</f>
        <v>2</v>
      </c>
      <c r="P22" s="249"/>
      <c r="Q22" s="249"/>
      <c r="R22" s="287">
        <f>O22*Цены!J177</f>
        <v>166.4</v>
      </c>
      <c r="S22" s="273"/>
      <c r="T22" s="310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428"/>
      <c r="AH22" s="426"/>
      <c r="AI22" s="436"/>
      <c r="AJ22" s="436"/>
      <c r="AK22" s="436"/>
      <c r="AL22" s="436"/>
      <c r="AM22" s="436"/>
      <c r="AN22" s="436"/>
      <c r="AO22" s="436"/>
      <c r="AP22" s="436"/>
      <c r="AQ22" s="436"/>
      <c r="AR22" s="436"/>
      <c r="AS22" s="436"/>
      <c r="AT22" s="436"/>
      <c r="AU22" s="436"/>
      <c r="AV22" s="436"/>
      <c r="AW22" s="436"/>
      <c r="AX22" s="5"/>
      <c r="AY22" s="5"/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41">
        <f>IF(AND(BO22&gt;0,BO22&lt;=2700),1,0)</f>
        <v>1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41">
        <f>IF(AND(BO22&gt;2700,BO22&lt;=5350),BP22+1,BP22)</f>
        <v>0</v>
      </c>
      <c r="BL22" s="185"/>
      <c r="BM22" s="185"/>
      <c r="BN22" s="185"/>
      <c r="BO22" s="185">
        <f>BO12</f>
        <v>1080</v>
      </c>
      <c r="BP22" s="185">
        <f>BP12</f>
        <v>0</v>
      </c>
      <c r="BQ22" s="185"/>
      <c r="BR22" s="185"/>
      <c r="BS22" s="5"/>
      <c r="BT22" s="5"/>
      <c r="BV22" s="79" t="s">
        <v>119</v>
      </c>
      <c r="BZ22" s="301">
        <f>IF(E22&lt;&gt;0,1,0)</f>
        <v>1</v>
      </c>
      <c r="CE22" s="1" t="s">
        <v>423</v>
      </c>
    </row>
    <row r="23" spans="2:84" ht="25.05" customHeight="1" x14ac:dyDescent="0.3">
      <c r="B23" s="72" t="s">
        <v>113</v>
      </c>
      <c r="C23" s="15" t="s">
        <v>10</v>
      </c>
      <c r="D23" s="95">
        <v>0</v>
      </c>
      <c r="E23" s="17">
        <v>0</v>
      </c>
      <c r="F23" s="73">
        <f>IF(C23=$BV$10,$K$5-63,IF(C23=$BV$9,$K$5-62,$K$5-60))</f>
        <v>430</v>
      </c>
      <c r="G23" s="74">
        <f>IF(E23&lt;&gt;0,$E$9,0)</f>
        <v>0</v>
      </c>
      <c r="H23" s="75">
        <f t="shared" ref="H23:H26" si="20">E23*F23*D23*G23/1000000</f>
        <v>0</v>
      </c>
      <c r="J23" s="655" t="s">
        <v>40</v>
      </c>
      <c r="K23" s="656"/>
      <c r="L23" s="656"/>
      <c r="M23" s="656"/>
      <c r="N23" s="238" t="s">
        <v>204</v>
      </c>
      <c r="O23" s="231">
        <f>IF(E13&lt;500,2*E9,E9*ROUNDDOWN((E13/500+1),0))</f>
        <v>4</v>
      </c>
      <c r="P23" s="250"/>
      <c r="Q23" s="250"/>
      <c r="R23" s="287">
        <f>O23*Цены!J102</f>
        <v>1785.48</v>
      </c>
      <c r="S23" s="273"/>
      <c r="T23" s="273"/>
      <c r="U23" s="431"/>
      <c r="V23" s="431"/>
      <c r="W23" s="431"/>
      <c r="X23" s="431"/>
      <c r="Y23" s="431"/>
      <c r="Z23" s="431"/>
      <c r="AA23" s="431"/>
      <c r="AB23" s="431"/>
      <c r="AC23" s="431"/>
      <c r="AD23" s="431"/>
      <c r="AE23" s="431"/>
      <c r="AF23" s="431"/>
      <c r="AG23" s="431"/>
      <c r="AH23" s="278"/>
      <c r="AI23" s="447"/>
      <c r="AJ23" s="447"/>
      <c r="AK23" s="447"/>
      <c r="AL23" s="447"/>
      <c r="AM23" s="447"/>
      <c r="AN23" s="447"/>
      <c r="AO23" s="447"/>
      <c r="AP23" s="447"/>
      <c r="AQ23" s="447"/>
      <c r="AR23" s="447"/>
      <c r="AS23" s="447"/>
      <c r="AT23" s="447"/>
      <c r="AU23" s="447"/>
      <c r="AV23" s="447"/>
      <c r="AW23" s="447"/>
      <c r="AX23" s="5"/>
      <c r="AY23" s="5"/>
      <c r="AZ23" s="5"/>
      <c r="BA23" s="5"/>
      <c r="BB23" s="5"/>
      <c r="BC23" s="5"/>
      <c r="BD23" s="5"/>
      <c r="BE23" s="5"/>
      <c r="BF23" s="5"/>
      <c r="BG23" s="1"/>
      <c r="BH23" s="1"/>
      <c r="BI23" s="5"/>
      <c r="BJ23" s="5"/>
      <c r="BK23" s="5"/>
      <c r="BL23" s="1"/>
      <c r="BM23" s="5"/>
      <c r="BN23" s="5"/>
      <c r="BO23" s="5"/>
      <c r="BP23" s="5"/>
      <c r="BQ23" s="5"/>
      <c r="BR23" s="5"/>
      <c r="BS23" s="5"/>
      <c r="BT23" s="5"/>
      <c r="BZ23" s="301">
        <f>IF(E23&lt;&gt;0,1,0)</f>
        <v>0</v>
      </c>
      <c r="CE23" s="1" t="s">
        <v>420</v>
      </c>
    </row>
    <row r="24" spans="2:84" ht="25.05" customHeight="1" x14ac:dyDescent="0.3">
      <c r="B24" s="72" t="s">
        <v>114</v>
      </c>
      <c r="C24" s="15" t="s">
        <v>10</v>
      </c>
      <c r="D24" s="95">
        <v>0</v>
      </c>
      <c r="E24" s="17">
        <v>0</v>
      </c>
      <c r="F24" s="73">
        <f>IF(C24=$BV$10,$K$5-63,IF(C24=$BV$9,$K$5-62,$K$5-60))</f>
        <v>430</v>
      </c>
      <c r="G24" s="74">
        <f>IF(E24&lt;&gt;0,$E$9,0)</f>
        <v>0</v>
      </c>
      <c r="H24" s="75">
        <f t="shared" si="20"/>
        <v>0</v>
      </c>
      <c r="J24" s="655" t="s">
        <v>44</v>
      </c>
      <c r="K24" s="656"/>
      <c r="L24" s="656"/>
      <c r="M24" s="656"/>
      <c r="N24" s="238" t="s">
        <v>205</v>
      </c>
      <c r="O24" s="284">
        <f>E9</f>
        <v>2</v>
      </c>
      <c r="P24" s="270"/>
      <c r="Q24" s="270"/>
      <c r="R24" s="287">
        <f>O24*Цены!J106</f>
        <v>186.38</v>
      </c>
      <c r="S24" s="273"/>
      <c r="AZ24" s="5"/>
      <c r="BA24" s="5"/>
      <c r="BB24" s="5"/>
      <c r="BC24" s="5"/>
      <c r="BD24" s="5"/>
      <c r="BE24" s="241" t="s">
        <v>517</v>
      </c>
      <c r="BF24" s="5"/>
      <c r="BI24" s="5"/>
      <c r="BJ24" s="5"/>
      <c r="BK24" s="5"/>
      <c r="BM24" s="5"/>
      <c r="BN24" s="5"/>
      <c r="BO24" s="5"/>
      <c r="BP24" s="5"/>
      <c r="BQ24" s="5"/>
      <c r="BR24" s="5"/>
      <c r="BU24" s="1"/>
      <c r="BZ24" s="301">
        <f>IF(E24&lt;&gt;0,1,0)</f>
        <v>0</v>
      </c>
      <c r="CE24" s="1" t="s">
        <v>421</v>
      </c>
    </row>
    <row r="25" spans="2:84" ht="25.05" customHeight="1" x14ac:dyDescent="0.3">
      <c r="B25" s="72" t="s">
        <v>115</v>
      </c>
      <c r="C25" s="15" t="s">
        <v>12</v>
      </c>
      <c r="D25" s="95">
        <v>0</v>
      </c>
      <c r="E25" s="17">
        <v>0</v>
      </c>
      <c r="F25" s="73">
        <f>IF(C25=$BV$10,$K$5-63,IF(C25=$BV$9,$K$5-62,$K$5-60))</f>
        <v>427</v>
      </c>
      <c r="G25" s="74">
        <f>IF(E25&lt;&gt;0,$E$9,0)</f>
        <v>0</v>
      </c>
      <c r="H25" s="75">
        <f t="shared" si="20"/>
        <v>0</v>
      </c>
      <c r="J25" s="561" t="s">
        <v>222</v>
      </c>
      <c r="K25" s="562"/>
      <c r="L25" s="562"/>
      <c r="M25" s="562"/>
      <c r="N25" s="236" t="s">
        <v>192</v>
      </c>
      <c r="O25" s="231">
        <f>M10*2+M11*2</f>
        <v>8</v>
      </c>
      <c r="P25" s="250"/>
      <c r="Q25" s="250"/>
      <c r="R25" s="287">
        <f>O25*Цены!J186</f>
        <v>83.2</v>
      </c>
      <c r="S25" s="273"/>
      <c r="T25" s="273"/>
      <c r="U25" s="5"/>
      <c r="V25" s="5"/>
      <c r="W25" s="5"/>
      <c r="X25" s="78"/>
      <c r="Y25" s="78"/>
      <c r="Z25" s="78"/>
      <c r="AA25" s="78"/>
      <c r="AB25" s="78"/>
      <c r="AC25" s="78"/>
      <c r="AD25" s="5"/>
      <c r="AE25" s="5"/>
      <c r="AF25" s="5"/>
      <c r="AG25" s="5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5"/>
      <c r="AY25" s="5"/>
      <c r="BS25" s="5"/>
      <c r="BT25" s="5"/>
      <c r="BV25" s="1" t="s">
        <v>80</v>
      </c>
      <c r="BZ25" s="301">
        <f>IF(E25&lt;&gt;0,1,0)</f>
        <v>0</v>
      </c>
      <c r="CE25" s="1" t="s">
        <v>422</v>
      </c>
    </row>
    <row r="26" spans="2:84" ht="25.05" customHeight="1" thickBot="1" x14ac:dyDescent="0.35">
      <c r="B26" s="80" t="s">
        <v>116</v>
      </c>
      <c r="C26" s="15" t="s">
        <v>12</v>
      </c>
      <c r="D26" s="95">
        <v>0</v>
      </c>
      <c r="E26" s="17">
        <v>0</v>
      </c>
      <c r="F26" s="73">
        <f>IF(C26=$BV$10,$K$5-63,IF(C26=$BV$9,$K$5-62,$K$5-60))</f>
        <v>427</v>
      </c>
      <c r="G26" s="74">
        <f>IF(E26&lt;&gt;0,$E$9,0)</f>
        <v>0</v>
      </c>
      <c r="H26" s="131">
        <f t="shared" si="20"/>
        <v>0</v>
      </c>
      <c r="J26" s="655" t="s">
        <v>82</v>
      </c>
      <c r="K26" s="656"/>
      <c r="L26" s="656"/>
      <c r="M26" s="656"/>
      <c r="N26" s="236" t="s">
        <v>255</v>
      </c>
      <c r="O26" s="299">
        <f>ROUNDUP((IF(C22=BV9,(E22+F22)*2*G22,0)+IF(C23=BV9,(E23+F23)*2*G23,0)+IF(C24=BV9,(E24+F24)*2*G24,0)+IF(C25=BV9,(E25+F25)*2*G25,0)+IF(C26=BV9,(E26+F26)*2*G26,0))/1000,0)</f>
        <v>0</v>
      </c>
      <c r="P26" s="296"/>
      <c r="Q26" s="296"/>
      <c r="R26" s="287">
        <f>O26*Цены!J179</f>
        <v>0</v>
      </c>
      <c r="S26" s="273"/>
      <c r="T26" s="273"/>
      <c r="V26" s="322"/>
      <c r="W26" s="322"/>
      <c r="X26" s="322"/>
      <c r="Y26" s="322"/>
      <c r="Z26" s="322"/>
      <c r="AA26" s="322"/>
      <c r="AB26" s="322"/>
      <c r="AX26" s="5"/>
      <c r="AY26" s="5"/>
      <c r="AZ26" s="141" t="s">
        <v>256</v>
      </c>
      <c r="BA26" s="141"/>
      <c r="BB26" s="141"/>
      <c r="BC26" s="185">
        <v>5000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6"/>
      <c r="BN26" s="186"/>
      <c r="BO26" s="186"/>
      <c r="BP26" s="186"/>
      <c r="BQ26" s="186"/>
      <c r="BR26" s="186"/>
      <c r="BS26" s="5"/>
      <c r="BT26" s="5"/>
      <c r="BV26" s="83" t="s">
        <v>159</v>
      </c>
      <c r="BZ26" s="301">
        <f>IF(E26&lt;&gt;0,1,0)</f>
        <v>0</v>
      </c>
      <c r="CE26" s="1" t="s">
        <v>419</v>
      </c>
    </row>
    <row r="27" spans="2:84" ht="25.05" customHeight="1" thickBot="1" x14ac:dyDescent="0.35">
      <c r="B27" s="66"/>
      <c r="C27" s="67"/>
      <c r="D27" s="67"/>
      <c r="E27" s="571" t="s">
        <v>79</v>
      </c>
      <c r="F27" s="571"/>
      <c r="G27" s="571"/>
      <c r="H27" s="323">
        <f>SUM(H22:H26)</f>
        <v>0</v>
      </c>
      <c r="J27" s="548" t="s">
        <v>84</v>
      </c>
      <c r="K27" s="549"/>
      <c r="L27" s="549"/>
      <c r="M27" s="549"/>
      <c r="N27" s="236" t="s">
        <v>193</v>
      </c>
      <c r="O27" s="299">
        <f>ROUNDUP((IF(C22=BV10,(E22+F22)*2*G22,0)+IF(C23=BV10,(E23+F23)*2*G23,0)+IF(C24=BV10,(E24+F24)*2*G24,0)+IF(C25=BV10,(E25+F25)*2*G25,0)+IF(C26=BV10,(E26+F26)*2*G26,0))/1000,0)</f>
        <v>12</v>
      </c>
      <c r="P27" s="296"/>
      <c r="Q27" s="296"/>
      <c r="R27" s="287">
        <f>O27*Цены!J180</f>
        <v>531.96</v>
      </c>
      <c r="S27" s="273"/>
      <c r="T27" s="273"/>
      <c r="U27" s="5"/>
      <c r="V27" s="5"/>
      <c r="W27" s="5"/>
      <c r="X27" s="78"/>
      <c r="Y27" s="78"/>
      <c r="Z27" s="78"/>
      <c r="AA27" s="78"/>
      <c r="AB27" s="78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5"/>
      <c r="AY27" s="54" t="s">
        <v>264</v>
      </c>
      <c r="AZ27" s="141" t="s">
        <v>257</v>
      </c>
      <c r="BA27" s="141"/>
      <c r="BB27" s="141"/>
      <c r="BC27" s="141">
        <v>5075</v>
      </c>
      <c r="BD27" s="185"/>
      <c r="BE27" s="141"/>
      <c r="BF27" s="141"/>
      <c r="BG27" s="141"/>
      <c r="BH27" s="141"/>
      <c r="BI27" s="141"/>
      <c r="BJ27" s="141"/>
      <c r="BK27" s="141"/>
      <c r="BL27" s="141"/>
      <c r="BM27" s="186"/>
      <c r="BN27" s="186"/>
      <c r="BO27" s="186"/>
      <c r="BP27" s="186"/>
      <c r="BQ27" s="186"/>
      <c r="BR27" s="186"/>
      <c r="BS27" s="5"/>
      <c r="BT27" s="5"/>
      <c r="BV27" s="83" t="s">
        <v>129</v>
      </c>
      <c r="CE27" s="1" t="s">
        <v>520</v>
      </c>
    </row>
    <row r="28" spans="2:84" ht="25.05" customHeight="1" x14ac:dyDescent="0.3">
      <c r="B28" s="66"/>
      <c r="C28" s="637" t="str">
        <f>IF((SUM(BZ22:BZ26)/C18)&lt;&gt;1,BV21,BV22)</f>
        <v>Верно внесены высоты вставок</v>
      </c>
      <c r="D28" s="637"/>
      <c r="E28" s="329">
        <f>IF(C28=BV22,1,0)</f>
        <v>1</v>
      </c>
      <c r="F28" s="329"/>
      <c r="G28" s="329"/>
      <c r="H28" s="68"/>
      <c r="J28" s="655" t="s">
        <v>80</v>
      </c>
      <c r="K28" s="656"/>
      <c r="L28" s="656"/>
      <c r="M28" s="656"/>
      <c r="N28" s="236" t="s">
        <v>194</v>
      </c>
      <c r="O28" s="231">
        <f>IF(AND(E11=BV25,E8=BV59),O25,0)</f>
        <v>0</v>
      </c>
      <c r="P28" s="250"/>
      <c r="Q28" s="250"/>
      <c r="R28" s="287">
        <f>O28*Цены!J173</f>
        <v>0</v>
      </c>
      <c r="S28" s="273"/>
      <c r="T28" s="273"/>
      <c r="U28" s="5"/>
      <c r="V28" s="5"/>
      <c r="W28" s="5"/>
      <c r="X28" s="78"/>
      <c r="Y28" s="78"/>
      <c r="Z28" s="78"/>
      <c r="AA28" s="78"/>
      <c r="AB28" s="78"/>
      <c r="AC28" s="78"/>
      <c r="AD28" s="5"/>
      <c r="AE28" s="5"/>
      <c r="AF28" s="5"/>
      <c r="AG28" s="5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5"/>
      <c r="AY28" s="146">
        <f>IF(C22=$BV$8,(F22*E22/1000000)*8,IF(C22=$BV$9,(F22*E22/1000000)*6.5,(F22*E22/1000000)*11))</f>
        <v>11.897501</v>
      </c>
      <c r="AZ28" s="185" t="s">
        <v>258</v>
      </c>
      <c r="BA28" s="185"/>
      <c r="BB28" s="185"/>
      <c r="BC28" s="141">
        <v>5400</v>
      </c>
      <c r="BD28" s="185"/>
      <c r="BE28" s="141"/>
      <c r="BF28" s="141"/>
      <c r="BG28" s="141"/>
      <c r="BH28" s="141"/>
      <c r="BI28" s="141"/>
      <c r="BJ28" s="141"/>
      <c r="BK28" s="141"/>
      <c r="BL28" s="141"/>
      <c r="BM28" s="186"/>
      <c r="BN28" s="186"/>
      <c r="BO28" s="186"/>
      <c r="BP28" s="186"/>
      <c r="BQ28" s="186"/>
      <c r="BR28" s="186"/>
      <c r="BS28" s="5"/>
      <c r="BT28" s="5"/>
      <c r="BV28" s="1" t="s">
        <v>76</v>
      </c>
      <c r="CE28" s="1" t="s">
        <v>518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68"/>
      <c r="J29" s="561" t="s">
        <v>165</v>
      </c>
      <c r="K29" s="562"/>
      <c r="L29" s="562"/>
      <c r="M29" s="562"/>
      <c r="N29" s="237" t="s">
        <v>195</v>
      </c>
      <c r="O29" s="339">
        <f>IF(AND(E11=BV26,E8=BV59),O25,0)</f>
        <v>0</v>
      </c>
      <c r="P29" s="249"/>
      <c r="Q29" s="249"/>
      <c r="R29" s="262">
        <f>O29*Цены!J134</f>
        <v>0</v>
      </c>
      <c r="S29" s="243"/>
      <c r="T29" s="243"/>
      <c r="U29" s="5"/>
      <c r="V29" s="5"/>
      <c r="W29" s="5"/>
      <c r="X29" s="78"/>
      <c r="Y29" s="78"/>
      <c r="Z29" s="78"/>
      <c r="AA29" s="78"/>
      <c r="AB29" s="78"/>
      <c r="AC29" s="78"/>
      <c r="AD29" s="5"/>
      <c r="AE29" s="5"/>
      <c r="AF29" s="5"/>
      <c r="AG29" s="5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5"/>
      <c r="AY29" s="146">
        <f>IF(C23=$BV$8,(F23*E23/1000000)*8,IF(C23=$BV$9,(F23*E23/1000000)*6.5,(F23*E23/1000000)*11))</f>
        <v>0</v>
      </c>
      <c r="AZ29" s="96">
        <v>1000</v>
      </c>
      <c r="BA29" s="96">
        <v>1250</v>
      </c>
      <c r="BB29" s="96">
        <v>1800</v>
      </c>
      <c r="BC29" s="96">
        <v>2000</v>
      </c>
      <c r="BD29" s="96">
        <v>2500</v>
      </c>
      <c r="BE29" s="96">
        <v>2700</v>
      </c>
      <c r="BF29" s="96">
        <v>3000</v>
      </c>
      <c r="BG29" s="96">
        <v>3600</v>
      </c>
      <c r="BH29" s="96">
        <v>3750</v>
      </c>
      <c r="BI29" s="96">
        <v>4000</v>
      </c>
      <c r="BJ29" s="96">
        <v>5000</v>
      </c>
      <c r="BK29" s="142">
        <v>5400</v>
      </c>
      <c r="BL29" s="187"/>
      <c r="BM29" s="186"/>
      <c r="BN29" s="186"/>
      <c r="BO29" s="186"/>
      <c r="BP29" s="186"/>
      <c r="BQ29" s="186"/>
      <c r="BR29" s="186"/>
      <c r="BS29" s="5"/>
      <c r="BT29" s="5"/>
    </row>
    <row r="30" spans="2:84" ht="25.05" customHeight="1" x14ac:dyDescent="0.3">
      <c r="B30" s="66"/>
      <c r="C30" s="84"/>
      <c r="D30" s="84"/>
      <c r="E30" s="85"/>
      <c r="F30" s="85"/>
      <c r="G30" s="85"/>
      <c r="H30" s="68"/>
      <c r="J30" s="587" t="s">
        <v>76</v>
      </c>
      <c r="K30" s="588"/>
      <c r="L30" s="588"/>
      <c r="M30" s="588"/>
      <c r="N30" s="235" t="s">
        <v>196</v>
      </c>
      <c r="O30" s="234">
        <f>IF(E11=BV28,ROUNDUP(L9*M9/1000,0),0)</f>
        <v>0</v>
      </c>
      <c r="P30" s="253"/>
      <c r="Q30" s="253"/>
      <c r="R30" s="262">
        <f>O30*Цены!J163</f>
        <v>0</v>
      </c>
      <c r="S30" s="243"/>
      <c r="T30" s="243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5"/>
      <c r="AY30" s="146">
        <f>IF(C24=$BV$8,(F24*E24/1000000)*8,IF(C24=$BV$9,(F24*E24/1000000)*6.5,(F24*E24/1000000)*11))</f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315">
        <f>BK19</f>
        <v>2</v>
      </c>
      <c r="BL30" s="185"/>
      <c r="BM30" s="141"/>
      <c r="BN30" s="141"/>
      <c r="BO30" s="141"/>
      <c r="BP30" s="188"/>
      <c r="BQ30" s="188"/>
      <c r="BR30" s="188"/>
      <c r="BS30" s="5"/>
      <c r="BT30" s="5"/>
      <c r="BV30" s="79" t="s">
        <v>117</v>
      </c>
    </row>
    <row r="31" spans="2:84" ht="25.05" customHeight="1" x14ac:dyDescent="0.3">
      <c r="B31" s="66"/>
      <c r="C31" s="67"/>
      <c r="D31" s="67"/>
      <c r="E31" s="67"/>
      <c r="F31" s="67"/>
      <c r="G31" s="5"/>
      <c r="H31" s="11"/>
      <c r="J31" s="587" t="s">
        <v>129</v>
      </c>
      <c r="K31" s="588"/>
      <c r="L31" s="588"/>
      <c r="M31" s="588"/>
      <c r="N31" s="235" t="s">
        <v>197</v>
      </c>
      <c r="O31" s="234">
        <f>IF(E11=BV27,ROUNDUP(L9*M9/1000,0),0)</f>
        <v>11</v>
      </c>
      <c r="P31" s="253"/>
      <c r="Q31" s="253"/>
      <c r="R31" s="262">
        <f>O31*Цены!J182</f>
        <v>289.52</v>
      </c>
      <c r="S31" s="243"/>
      <c r="T31" s="243"/>
      <c r="AX31" s="5"/>
      <c r="AY31" s="146">
        <f>IF(C25=$BV$8,(F25*E25/1000000)*8,IF(C25=$BV$9,(F25*E25/1000000)*6.5,(F25*E25/1000000)*11))</f>
        <v>0</v>
      </c>
      <c r="AZ31" s="143">
        <v>0</v>
      </c>
      <c r="BA31" s="143">
        <v>0</v>
      </c>
      <c r="BB31" s="143">
        <v>0</v>
      </c>
      <c r="BC31" s="143">
        <v>0</v>
      </c>
      <c r="BD31" s="141">
        <f>IF(AND(BL31&gt;0,BL31&lt;=2500),1,0)</f>
        <v>1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1">
        <f>IF(AND(BL31&gt;2500,BL31&lt;=4950),BM31+1,BM31)</f>
        <v>0</v>
      </c>
      <c r="BK31" s="143">
        <v>0</v>
      </c>
      <c r="BL31" s="185">
        <f>BL20</f>
        <v>1648</v>
      </c>
      <c r="BM31" s="185">
        <f t="shared" ref="BM31:BR31" si="21">BM20</f>
        <v>0</v>
      </c>
      <c r="BN31" s="185">
        <f t="shared" si="21"/>
        <v>0</v>
      </c>
      <c r="BO31" s="185">
        <f t="shared" si="21"/>
        <v>0</v>
      </c>
      <c r="BP31" s="185">
        <f t="shared" si="21"/>
        <v>0</v>
      </c>
      <c r="BQ31" s="185" t="str">
        <f t="shared" si="21"/>
        <v>Цена 4в1</v>
      </c>
      <c r="BR31" s="185" t="str">
        <f t="shared" si="21"/>
        <v>Цена стандарт</v>
      </c>
      <c r="BS31" s="5"/>
      <c r="BT31" s="5"/>
      <c r="BV31" s="79" t="s">
        <v>94</v>
      </c>
    </row>
    <row r="32" spans="2:84" ht="25.05" customHeight="1" thickBot="1" x14ac:dyDescent="0.35">
      <c r="B32" s="66"/>
      <c r="C32" s="638" t="str">
        <f>IF(AND(SUM(BZ22:BZ26)/C18=1,E26=0,C18&lt;&gt;1),BV42,BV43)</f>
        <v xml:space="preserve"> </v>
      </c>
      <c r="D32" s="638"/>
      <c r="E32" s="85"/>
      <c r="F32" s="85"/>
      <c r="G32" s="85"/>
      <c r="H32" s="11"/>
      <c r="J32" s="587" t="s">
        <v>161</v>
      </c>
      <c r="K32" s="588"/>
      <c r="L32" s="588"/>
      <c r="M32" s="588"/>
      <c r="N32" s="294" t="s">
        <v>198</v>
      </c>
      <c r="O32" s="232">
        <f>IF(O31&gt;0,M9*2,0)</f>
        <v>8</v>
      </c>
      <c r="P32" s="251"/>
      <c r="Q32" s="251"/>
      <c r="R32" s="262">
        <f>O32*Цены!J178</f>
        <v>143.68</v>
      </c>
      <c r="S32" s="243"/>
      <c r="T32" s="243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146">
        <f>IF(C26=$BV$8,(F26*E26/1000000)*8,IF(C26=$BV$9,(F26*E26/1000000)*6.5,(F26*E26/1000000)*11))</f>
        <v>0</v>
      </c>
      <c r="AZ32" s="143">
        <v>0</v>
      </c>
      <c r="BA32" s="143">
        <v>0</v>
      </c>
      <c r="BB32" s="143">
        <v>0</v>
      </c>
      <c r="BC32" s="143"/>
      <c r="BD32" s="190">
        <f>IF(AND(J11=BY5,BL32&gt;0,BL32&lt;=2500),1,0)</f>
        <v>0</v>
      </c>
      <c r="BE32" s="191">
        <f>IF(AND(J11=BY4,BO32&gt;0,BO32&lt;=2700),1,0)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90">
        <f>IF(AND(J11=BY5,BL32&gt;2500,BL32&lt;=4950),BM32+1,BM32)</f>
        <v>0</v>
      </c>
      <c r="BK32" s="191">
        <f>IF(AND(J11=BY4,BO32&gt;2700,BO32&lt;=5350),BP32+1,BP32)</f>
        <v>0</v>
      </c>
      <c r="BL32" s="185">
        <f t="shared" ref="BL32:BR32" si="22">BL21</f>
        <v>0</v>
      </c>
      <c r="BM32" s="185">
        <f t="shared" si="22"/>
        <v>0</v>
      </c>
      <c r="BN32" s="185">
        <f t="shared" si="22"/>
        <v>0</v>
      </c>
      <c r="BO32" s="185">
        <f t="shared" si="22"/>
        <v>0</v>
      </c>
      <c r="BP32" s="185">
        <f t="shared" si="22"/>
        <v>0</v>
      </c>
      <c r="BQ32" s="185">
        <f t="shared" si="22"/>
        <v>0</v>
      </c>
      <c r="BR32" s="185">
        <f t="shared" si="22"/>
        <v>0</v>
      </c>
      <c r="BS32" s="5"/>
      <c r="BT32" s="5"/>
    </row>
    <row r="33" spans="2:74" ht="25.05" customHeight="1" thickBot="1" x14ac:dyDescent="0.35">
      <c r="B33" s="66"/>
      <c r="C33" s="67"/>
      <c r="D33" s="67"/>
      <c r="E33" s="67"/>
      <c r="F33" s="67"/>
      <c r="G33" s="67"/>
      <c r="H33" s="11"/>
      <c r="J33" s="587" t="s">
        <v>176</v>
      </c>
      <c r="K33" s="588"/>
      <c r="L33" s="588"/>
      <c r="M33" s="588"/>
      <c r="N33" s="236" t="s">
        <v>206</v>
      </c>
      <c r="O33" s="232">
        <f>IF(E14=BV46,E9,0)</f>
        <v>0</v>
      </c>
      <c r="P33" s="251"/>
      <c r="Q33" s="251"/>
      <c r="R33" s="262">
        <f>O33*Цены!J120</f>
        <v>0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5"/>
      <c r="AE33" s="5"/>
      <c r="AF33" s="5"/>
      <c r="AG33" s="5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5"/>
      <c r="AY33" s="290">
        <f>SUM(AY28:AY32)</f>
        <v>11.897501</v>
      </c>
      <c r="AZ33" s="192">
        <v>0</v>
      </c>
      <c r="BA33" s="192">
        <v>0</v>
      </c>
      <c r="BB33" s="192">
        <v>0</v>
      </c>
      <c r="BC33" s="192">
        <v>0</v>
      </c>
      <c r="BD33" s="192">
        <v>0</v>
      </c>
      <c r="BE33" s="141">
        <f>IF(AND(BO33&gt;0,BO33&lt;=2700),1,0)</f>
        <v>1</v>
      </c>
      <c r="BF33" s="192">
        <v>0</v>
      </c>
      <c r="BG33" s="192">
        <v>0</v>
      </c>
      <c r="BH33" s="192">
        <v>0</v>
      </c>
      <c r="BI33" s="192">
        <v>0</v>
      </c>
      <c r="BJ33" s="192">
        <v>0</v>
      </c>
      <c r="BK33" s="141">
        <f>IF(AND(BO33&gt;2700,BO33&lt;=5350),BP33+1,BP33)</f>
        <v>0</v>
      </c>
      <c r="BL33" s="185">
        <f t="shared" ref="BL33:BR33" si="23">BL22</f>
        <v>0</v>
      </c>
      <c r="BM33" s="185">
        <f t="shared" si="23"/>
        <v>0</v>
      </c>
      <c r="BN33" s="185">
        <f t="shared" si="23"/>
        <v>0</v>
      </c>
      <c r="BO33" s="185">
        <f t="shared" si="23"/>
        <v>1080</v>
      </c>
      <c r="BP33" s="185">
        <f t="shared" si="23"/>
        <v>0</v>
      </c>
      <c r="BQ33" s="185">
        <f t="shared" si="23"/>
        <v>0</v>
      </c>
      <c r="BR33" s="185">
        <f t="shared" si="23"/>
        <v>0</v>
      </c>
      <c r="BS33" s="5"/>
      <c r="BT33" s="5"/>
      <c r="BV33" s="54" t="s">
        <v>71</v>
      </c>
    </row>
    <row r="34" spans="2:74" ht="25.05" customHeight="1" x14ac:dyDescent="0.3">
      <c r="B34" s="66"/>
      <c r="C34" s="67"/>
      <c r="D34" s="67"/>
      <c r="E34" s="67"/>
      <c r="F34" s="67"/>
      <c r="G34" s="67"/>
      <c r="H34" s="11"/>
      <c r="J34" s="587" t="s">
        <v>231</v>
      </c>
      <c r="K34" s="588"/>
      <c r="L34" s="588"/>
      <c r="M34" s="588"/>
      <c r="N34" s="236" t="s">
        <v>235</v>
      </c>
      <c r="O34" s="232">
        <f>IF(E8=BV60,E9,0)</f>
        <v>2</v>
      </c>
      <c r="P34" s="251"/>
      <c r="Q34" s="251"/>
      <c r="R34" s="262">
        <f>O34*Цены!J126</f>
        <v>5071.76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5"/>
      <c r="AE34" s="5"/>
      <c r="AF34" s="5"/>
      <c r="AG34" s="5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5"/>
      <c r="AY34" s="5"/>
      <c r="AZ34" s="5"/>
      <c r="BA34" s="5"/>
      <c r="BB34" s="5"/>
      <c r="BC34" s="5"/>
      <c r="BD34" s="5"/>
      <c r="BE34" s="5"/>
      <c r="BF34" s="5"/>
      <c r="BI34" s="5"/>
      <c r="BJ34" s="5"/>
      <c r="BK34" s="5"/>
      <c r="BM34" s="5"/>
      <c r="BN34" s="5"/>
      <c r="BO34" s="5"/>
      <c r="BP34" s="5"/>
      <c r="BQ34" s="5"/>
      <c r="BR34" s="5"/>
      <c r="BS34" s="5"/>
      <c r="BT34" s="5"/>
      <c r="BV34" s="54" t="s">
        <v>167</v>
      </c>
    </row>
    <row r="35" spans="2:74" ht="25.05" customHeight="1" thickBot="1" x14ac:dyDescent="0.4">
      <c r="B35" s="86"/>
      <c r="C35" s="87"/>
      <c r="D35" s="329"/>
      <c r="E35" s="329"/>
      <c r="F35" s="329"/>
      <c r="G35" s="329"/>
      <c r="H35" s="11"/>
      <c r="J35" s="653" t="s">
        <v>162</v>
      </c>
      <c r="K35" s="654"/>
      <c r="L35" s="654"/>
      <c r="M35" s="654"/>
      <c r="N35" s="448" t="s">
        <v>207</v>
      </c>
      <c r="O35" s="438">
        <f>E12</f>
        <v>0</v>
      </c>
      <c r="P35" s="251"/>
      <c r="Q35" s="251"/>
      <c r="R35" s="300">
        <f>O35*Цены!J149</f>
        <v>0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5"/>
      <c r="BA35" s="5"/>
      <c r="BB35" s="5"/>
      <c r="BC35" s="5"/>
      <c r="BD35" s="5"/>
      <c r="BE35" s="241" t="s">
        <v>518</v>
      </c>
      <c r="BF35" s="5"/>
      <c r="BI35" s="5"/>
      <c r="BJ35" s="5"/>
      <c r="BK35" s="5"/>
      <c r="BM35" s="5"/>
      <c r="BN35" s="5"/>
      <c r="BO35" s="5"/>
      <c r="BP35" s="5"/>
      <c r="BQ35" s="5"/>
      <c r="BR35" s="5"/>
      <c r="BS35" s="5"/>
      <c r="BT35" s="5"/>
      <c r="BV35" s="54" t="s">
        <v>168</v>
      </c>
    </row>
    <row r="36" spans="2:74" ht="25.05" customHeight="1" thickBot="1" x14ac:dyDescent="0.35">
      <c r="B36" s="12"/>
      <c r="C36" s="6"/>
      <c r="D36" s="6"/>
      <c r="E36" s="6"/>
      <c r="F36" s="6"/>
      <c r="G36" s="6"/>
      <c r="H36" s="13"/>
      <c r="J36" s="112"/>
      <c r="K36" s="449"/>
      <c r="L36" s="450"/>
      <c r="M36" s="450"/>
      <c r="N36" s="450"/>
      <c r="O36" s="138"/>
      <c r="R36" s="283">
        <f>SUM(R19:R35)</f>
        <v>8258.380000000001</v>
      </c>
      <c r="S36" s="257"/>
      <c r="T36" s="257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"/>
      <c r="BS36" s="5"/>
      <c r="BT36" s="5"/>
    </row>
    <row r="37" spans="2:74" ht="25.05" customHeight="1" thickBot="1" x14ac:dyDescent="0.4">
      <c r="B37" s="86"/>
      <c r="C37" s="87"/>
      <c r="D37" s="329"/>
      <c r="E37" s="329"/>
      <c r="F37" s="329"/>
      <c r="G37" s="325" t="s">
        <v>261</v>
      </c>
      <c r="H37" s="148">
        <f>ROUNDUP((AY15+AY33)*1.1,0)</f>
        <v>18</v>
      </c>
      <c r="J37" s="5"/>
      <c r="K37" s="5"/>
      <c r="L37" s="5"/>
      <c r="M37" s="5"/>
      <c r="N37" s="5"/>
      <c r="O37" s="5"/>
      <c r="Q37" s="621" t="s">
        <v>425</v>
      </c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5"/>
      <c r="AZ37" s="141" t="s">
        <v>256</v>
      </c>
      <c r="BA37" s="141"/>
      <c r="BB37" s="141"/>
      <c r="BC37" s="185">
        <v>5000</v>
      </c>
      <c r="BD37" s="185"/>
      <c r="BE37" s="185"/>
      <c r="BF37" s="185"/>
      <c r="BG37" s="185"/>
      <c r="BH37" s="185"/>
      <c r="BI37" s="185"/>
      <c r="BJ37" s="185"/>
      <c r="BK37" s="185"/>
      <c r="BL37" s="185"/>
      <c r="BM37" s="186"/>
      <c r="BN37" s="186"/>
      <c r="BO37" s="186"/>
      <c r="BP37" s="186"/>
      <c r="BQ37" s="186"/>
      <c r="BR37" s="186"/>
      <c r="BS37" s="5"/>
      <c r="BT37" s="5"/>
    </row>
    <row r="38" spans="2:74" ht="25.05" customHeight="1" thickBot="1" x14ac:dyDescent="0.4">
      <c r="B38" s="91"/>
      <c r="C38" s="92"/>
      <c r="D38" s="93"/>
      <c r="E38" s="93"/>
      <c r="F38" s="93"/>
      <c r="G38" s="93"/>
      <c r="H38" s="94"/>
      <c r="J38" s="5"/>
      <c r="K38" s="5"/>
      <c r="L38" s="535" t="s">
        <v>521</v>
      </c>
      <c r="M38" s="535"/>
      <c r="N38" s="535"/>
      <c r="O38" s="535"/>
      <c r="Q38" s="621"/>
      <c r="R38" s="282">
        <f>R13+R36+H27</f>
        <v>23678.58</v>
      </c>
      <c r="S38" s="272"/>
      <c r="T38" s="272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5"/>
      <c r="AY38" s="5"/>
      <c r="AZ38" s="141" t="s">
        <v>257</v>
      </c>
      <c r="BA38" s="141"/>
      <c r="BB38" s="141"/>
      <c r="BC38" s="141">
        <v>5075</v>
      </c>
      <c r="BD38" s="185"/>
      <c r="BE38" s="141"/>
      <c r="BF38" s="141"/>
      <c r="BG38" s="141"/>
      <c r="BH38" s="141"/>
      <c r="BI38" s="141"/>
      <c r="BJ38" s="141"/>
      <c r="BK38" s="141"/>
      <c r="BL38" s="141"/>
      <c r="BM38" s="186"/>
      <c r="BN38" s="186"/>
      <c r="BO38" s="186"/>
      <c r="BP38" s="186"/>
      <c r="BQ38" s="186"/>
      <c r="BR38" s="186"/>
      <c r="BS38" s="5"/>
      <c r="BT38" s="5"/>
    </row>
    <row r="39" spans="2:74" ht="25.05" customHeight="1" x14ac:dyDescent="0.3">
      <c r="AZ39" s="185" t="s">
        <v>258</v>
      </c>
      <c r="BA39" s="185"/>
      <c r="BB39" s="185"/>
      <c r="BC39" s="141">
        <v>5400</v>
      </c>
      <c r="BD39" s="185"/>
      <c r="BE39" s="141"/>
      <c r="BF39" s="141"/>
      <c r="BG39" s="141"/>
      <c r="BH39" s="141"/>
      <c r="BI39" s="141"/>
      <c r="BJ39" s="141"/>
      <c r="BK39" s="141"/>
      <c r="BL39" s="141"/>
      <c r="BM39" s="186"/>
      <c r="BN39" s="186"/>
      <c r="BO39" s="186"/>
      <c r="BP39" s="186"/>
      <c r="BQ39" s="186"/>
      <c r="BR39" s="186"/>
    </row>
    <row r="40" spans="2:74" ht="25.05" customHeight="1" x14ac:dyDescent="0.3">
      <c r="AZ40" s="96">
        <v>1000</v>
      </c>
      <c r="BA40" s="96">
        <v>1250</v>
      </c>
      <c r="BB40" s="96">
        <v>1800</v>
      </c>
      <c r="BC40" s="96">
        <v>2000</v>
      </c>
      <c r="BD40" s="96">
        <v>2500</v>
      </c>
      <c r="BE40" s="96">
        <v>2700</v>
      </c>
      <c r="BF40" s="96">
        <v>3000</v>
      </c>
      <c r="BG40" s="96">
        <v>3600</v>
      </c>
      <c r="BH40" s="96">
        <v>3750</v>
      </c>
      <c r="BI40" s="96">
        <v>4000</v>
      </c>
      <c r="BJ40" s="96">
        <v>5000</v>
      </c>
      <c r="BK40" s="142">
        <v>5400</v>
      </c>
      <c r="BL40" s="187"/>
      <c r="BM40" s="186"/>
      <c r="BN40" s="186"/>
      <c r="BO40" s="186"/>
      <c r="BP40" s="186"/>
      <c r="BQ40" s="186"/>
      <c r="BR40" s="186"/>
    </row>
    <row r="41" spans="2:74" ht="25.05" customHeight="1" x14ac:dyDescent="0.3"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41">
        <v>0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315">
        <f>BK30</f>
        <v>2</v>
      </c>
      <c r="BL41" s="185"/>
      <c r="BM41" s="141"/>
      <c r="BN41" s="141"/>
      <c r="BO41" s="141"/>
      <c r="BP41" s="188"/>
      <c r="BQ41" s="188"/>
      <c r="BR41" s="188"/>
    </row>
    <row r="42" spans="2:74" ht="25.05" customHeight="1" x14ac:dyDescent="0.35">
      <c r="AZ42" s="143">
        <v>0</v>
      </c>
      <c r="BA42" s="143">
        <v>0</v>
      </c>
      <c r="BB42" s="143">
        <v>0</v>
      </c>
      <c r="BC42" s="143">
        <v>0</v>
      </c>
      <c r="BD42" s="141">
        <f>IF(AND(BL42&gt;0,BL42&lt;=2500),1,0)</f>
        <v>1</v>
      </c>
      <c r="BE42" s="143">
        <v>0</v>
      </c>
      <c r="BF42" s="143">
        <v>0</v>
      </c>
      <c r="BG42" s="143">
        <v>0</v>
      </c>
      <c r="BH42" s="143">
        <v>0</v>
      </c>
      <c r="BI42" s="143">
        <v>0</v>
      </c>
      <c r="BJ42" s="141">
        <f>IF(AND(BL42&gt;2500,BL42&lt;=4950),BM42+1,BM42)</f>
        <v>0</v>
      </c>
      <c r="BK42" s="143">
        <v>0</v>
      </c>
      <c r="BL42" s="185">
        <f>BL31</f>
        <v>1648</v>
      </c>
      <c r="BM42" s="185">
        <f t="shared" ref="BM42:BR42" si="24">BM31</f>
        <v>0</v>
      </c>
      <c r="BN42" s="185">
        <f t="shared" si="24"/>
        <v>0</v>
      </c>
      <c r="BO42" s="185">
        <f t="shared" si="24"/>
        <v>0</v>
      </c>
      <c r="BP42" s="185">
        <f t="shared" si="24"/>
        <v>0</v>
      </c>
      <c r="BQ42" s="185" t="str">
        <f t="shared" si="24"/>
        <v>Цена 4в1</v>
      </c>
      <c r="BR42" s="185" t="str">
        <f t="shared" si="24"/>
        <v>Цена стандарт</v>
      </c>
      <c r="BV42" s="90" t="s">
        <v>126</v>
      </c>
    </row>
    <row r="43" spans="2:74" ht="25.05" customHeight="1" x14ac:dyDescent="0.3">
      <c r="AZ43" s="143">
        <v>0</v>
      </c>
      <c r="BA43" s="143">
        <v>0</v>
      </c>
      <c r="BB43" s="191">
        <f>IF(AND(J11=BY4,BO43&gt;0,BO43&lt;=1800),1,0)</f>
        <v>0</v>
      </c>
      <c r="BC43" s="143">
        <v>0</v>
      </c>
      <c r="BD43" s="190">
        <f>IF(AND(J11=BY5,BL43&gt;0,BL43&lt;=2500),1,0)</f>
        <v>0</v>
      </c>
      <c r="BE43" s="191">
        <f>IF(AND(J11=BY4,BO43&gt;1800,BO43&lt;=2700),1,0)</f>
        <v>0</v>
      </c>
      <c r="BF43" s="143">
        <v>0</v>
      </c>
      <c r="BG43" s="191">
        <f>IF(AND(J11=BY4,BO43&gt;2700,BO43&lt;=3600),1,0)</f>
        <v>0</v>
      </c>
      <c r="BH43" s="143">
        <v>0</v>
      </c>
      <c r="BI43" s="143">
        <v>0</v>
      </c>
      <c r="BJ43" s="190">
        <f>IF(AND(J11=BY5,BL43&gt;2500,BL43&lt;=4950),BM43+1,BM43)</f>
        <v>0</v>
      </c>
      <c r="BK43" s="191">
        <f>IF(AND(J11=BY4,BO43&gt;3600,BO43&lt;=5350),BP43+1,BP43)</f>
        <v>0</v>
      </c>
      <c r="BL43" s="185">
        <f t="shared" ref="BL43:BR43" si="25">BL32</f>
        <v>0</v>
      </c>
      <c r="BM43" s="185">
        <f t="shared" si="25"/>
        <v>0</v>
      </c>
      <c r="BN43" s="185">
        <f t="shared" si="25"/>
        <v>0</v>
      </c>
      <c r="BO43" s="185">
        <f t="shared" si="25"/>
        <v>0</v>
      </c>
      <c r="BP43" s="185">
        <f t="shared" si="25"/>
        <v>0</v>
      </c>
      <c r="BQ43" s="185">
        <f t="shared" si="25"/>
        <v>0</v>
      </c>
      <c r="BR43" s="185">
        <f t="shared" si="25"/>
        <v>0</v>
      </c>
      <c r="BV43" s="1" t="s">
        <v>94</v>
      </c>
    </row>
    <row r="44" spans="2:74" ht="25.05" customHeight="1" x14ac:dyDescent="0.3"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41">
        <f>IF(AND(BO44&gt;0,BO44&lt;=2700),1,0)</f>
        <v>1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41">
        <f>IF(AND(BO44&gt;2700,BO44&lt;=5350),BP44+1,BP44)</f>
        <v>0</v>
      </c>
      <c r="BL44" s="185">
        <f t="shared" ref="BL44:BR44" si="26">BL33</f>
        <v>0</v>
      </c>
      <c r="BM44" s="185">
        <f t="shared" si="26"/>
        <v>0</v>
      </c>
      <c r="BN44" s="185">
        <f t="shared" si="26"/>
        <v>0</v>
      </c>
      <c r="BO44" s="185">
        <f t="shared" si="26"/>
        <v>1080</v>
      </c>
      <c r="BP44" s="185">
        <f t="shared" si="26"/>
        <v>0</v>
      </c>
      <c r="BQ44" s="185">
        <f t="shared" si="26"/>
        <v>0</v>
      </c>
      <c r="BR44" s="185">
        <f t="shared" si="26"/>
        <v>0</v>
      </c>
    </row>
    <row r="45" spans="2:74" ht="25.05" customHeight="1" x14ac:dyDescent="0.3"/>
    <row r="46" spans="2:74" x14ac:dyDescent="0.3">
      <c r="BV46" s="54" t="s">
        <v>98</v>
      </c>
    </row>
    <row r="47" spans="2:74" x14ac:dyDescent="0.3">
      <c r="BV47" s="54" t="s">
        <v>99</v>
      </c>
    </row>
    <row r="51" spans="59:74" s="54" customFormat="1" x14ac:dyDescent="0.3">
      <c r="BV51" s="54" t="s">
        <v>179</v>
      </c>
    </row>
    <row r="52" spans="59:74" s="54" customFormat="1" x14ac:dyDescent="0.3">
      <c r="BV52" s="54" t="s">
        <v>174</v>
      </c>
    </row>
    <row r="53" spans="59:74" s="54" customFormat="1" x14ac:dyDescent="0.3">
      <c r="BG53" s="38"/>
      <c r="BH53" s="38"/>
      <c r="BL53" s="38"/>
      <c r="BU53" s="38"/>
    </row>
    <row r="54" spans="59:74" s="54" customFormat="1" x14ac:dyDescent="0.3">
      <c r="BG54" s="38"/>
      <c r="BH54" s="38"/>
      <c r="BL54" s="38"/>
      <c r="BU54" s="38"/>
    </row>
    <row r="55" spans="59:74" s="54" customFormat="1" x14ac:dyDescent="0.3">
      <c r="BG55" s="38"/>
      <c r="BH55" s="38"/>
      <c r="BL55" s="38"/>
      <c r="BU55" s="38"/>
      <c r="BV55" s="1" t="s">
        <v>177</v>
      </c>
    </row>
    <row r="56" spans="59:74" s="54" customFormat="1" x14ac:dyDescent="0.3">
      <c r="BV56" s="54" t="s">
        <v>174</v>
      </c>
    </row>
    <row r="59" spans="59:74" s="54" customFormat="1" x14ac:dyDescent="0.3">
      <c r="BV59" s="54" t="s">
        <v>232</v>
      </c>
    </row>
    <row r="60" spans="59:74" s="54" customFormat="1" x14ac:dyDescent="0.3">
      <c r="BV60" s="54" t="s">
        <v>233</v>
      </c>
    </row>
    <row r="65" spans="74:74" s="54" customFormat="1" x14ac:dyDescent="0.3">
      <c r="BV65" s="38" t="str">
        <f>Подвесная!BU50</f>
        <v>Серебро матовое</v>
      </c>
    </row>
    <row r="66" spans="74:74" s="54" customFormat="1" x14ac:dyDescent="0.3">
      <c r="BV66" s="38" t="str">
        <f>Подвесная!BU51</f>
        <v>Черный матовый</v>
      </c>
    </row>
    <row r="67" spans="74:74" s="54" customFormat="1" x14ac:dyDescent="0.3">
      <c r="BV67" s="38" t="str">
        <f>Подвесная!BU52</f>
        <v>Слоновая кость</v>
      </c>
    </row>
    <row r="68" spans="74:74" s="54" customFormat="1" x14ac:dyDescent="0.3">
      <c r="BV68" s="38" t="str">
        <f>Подвесная!BU53</f>
        <v>Белый матовый</v>
      </c>
    </row>
    <row r="69" spans="74:74" s="54" customFormat="1" x14ac:dyDescent="0.3">
      <c r="BV69" s="38" t="str">
        <f>Подвесная!BU54</f>
        <v xml:space="preserve">Венге темный </v>
      </c>
    </row>
    <row r="70" spans="74:74" s="54" customFormat="1" x14ac:dyDescent="0.3">
      <c r="BV70" s="38" t="str">
        <f>Подвесная!BU55</f>
        <v>Дуб белый</v>
      </c>
    </row>
    <row r="71" spans="74:74" s="54" customFormat="1" x14ac:dyDescent="0.3">
      <c r="BV71" s="38" t="str">
        <f>Подвесная!BU56</f>
        <v xml:space="preserve"> медь античная*</v>
      </c>
    </row>
    <row r="72" spans="74:74" s="54" customFormat="1" x14ac:dyDescent="0.3">
      <c r="BV72" s="38" t="str">
        <f>Подвесная!BU57</f>
        <v>сталь воронёная</v>
      </c>
    </row>
    <row r="73" spans="74:74" x14ac:dyDescent="0.3">
      <c r="BV73" s="38" t="str">
        <f>Подвесная!BU58</f>
        <v>золото матовое</v>
      </c>
    </row>
    <row r="74" spans="74:74" x14ac:dyDescent="0.3">
      <c r="BV74" s="38" t="str">
        <f>Подвесная!BU59</f>
        <v>антрацит</v>
      </c>
    </row>
    <row r="75" spans="74:74" x14ac:dyDescent="0.3">
      <c r="BV75" s="38" t="str">
        <f>Подвесная!BU60</f>
        <v>кварц бронзовый*</v>
      </c>
    </row>
    <row r="76" spans="74:74" x14ac:dyDescent="0.3">
      <c r="BV76" s="38" t="str">
        <f>Подвесная!BU61</f>
        <v>жемчуг серый*</v>
      </c>
    </row>
    <row r="77" spans="74:74" x14ac:dyDescent="0.3">
      <c r="BV77" s="38" t="str">
        <f>Подвесная!BU62</f>
        <v>жемчуг розовый*</v>
      </c>
    </row>
    <row r="78" spans="74:74" x14ac:dyDescent="0.3">
      <c r="BV78" s="38"/>
    </row>
    <row r="79" spans="74:74" x14ac:dyDescent="0.3">
      <c r="BV79" s="38"/>
    </row>
  </sheetData>
  <sheetProtection algorithmName="SHA-512" hashValue="OU/SBKXbdJhcakMa+pq4YJlojHn68e6kyJZfzuKEGXDNq1xuhBkO+0i4i/qbnKK1tHUz4wtjY+MRTKGgaJywBQ==" saltValue="zJAOo/sqRom1Rxz0Dv881g==" spinCount="100000" sheet="1" selectLockedCells="1"/>
  <mergeCells count="58"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  <mergeCell ref="U13:AG13"/>
    <mergeCell ref="J17:L17"/>
    <mergeCell ref="J3:K3"/>
    <mergeCell ref="J7:M7"/>
    <mergeCell ref="U7:AH7"/>
    <mergeCell ref="R4:R5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</mergeCells>
  <conditionalFormatting sqref="E12">
    <cfRule type="cellIs" dxfId="69" priority="76" operator="greaterThan">
      <formula>0</formula>
    </cfRule>
  </conditionalFormatting>
  <conditionalFormatting sqref="E13">
    <cfRule type="cellIs" dxfId="68" priority="69" operator="greaterThan">
      <formula>0</formula>
    </cfRule>
  </conditionalFormatting>
  <conditionalFormatting sqref="E14">
    <cfRule type="cellIs" dxfId="67" priority="60" operator="greaterThan">
      <formula>0</formula>
    </cfRule>
  </conditionalFormatting>
  <conditionalFormatting sqref="K4">
    <cfRule type="expression" dxfId="66" priority="63">
      <formula>$K$4&gt;3200</formula>
    </cfRule>
  </conditionalFormatting>
  <conditionalFormatting sqref="E6">
    <cfRule type="cellIs" dxfId="65" priority="45" operator="greaterThan">
      <formula>0</formula>
    </cfRule>
  </conditionalFormatting>
  <conditionalFormatting sqref="R29:T32 O30:Q32 O33:T35">
    <cfRule type="expression" dxfId="64" priority="582">
      <formula>#REF!=0</formula>
    </cfRule>
  </conditionalFormatting>
  <conditionalFormatting sqref="R38:T38 AW27 AI27 AH15">
    <cfRule type="expression" dxfId="63" priority="730">
      <formula>$E$4=0</formula>
    </cfRule>
  </conditionalFormatting>
  <conditionalFormatting sqref="R17:S17 AH12:AI13 H27 F22:H26 O19:Q35 O9:Q9 E22 K4:K5 R25:T36 R19:S24 L9:N12 S14 O12:Q12 P10:Q11 AW13 AW9:AW10 S9:T13 AG9:AI10 AJ10:AT10 AI11:AT12 AG11:AG12">
    <cfRule type="expression" dxfId="62" priority="733">
      <formula>$E$4=0</formula>
    </cfRule>
  </conditionalFormatting>
  <conditionalFormatting sqref="O11">
    <cfRule type="expression" dxfId="61" priority="38">
      <formula>$E$4=0</formula>
    </cfRule>
  </conditionalFormatting>
  <conditionalFormatting sqref="O10">
    <cfRule type="expression" dxfId="60" priority="37">
      <formula>$E$4=0</formula>
    </cfRule>
  </conditionalFormatting>
  <conditionalFormatting sqref="AJ27">
    <cfRule type="expression" dxfId="59" priority="25">
      <formula>$E$4=0</formula>
    </cfRule>
  </conditionalFormatting>
  <conditionalFormatting sqref="AJ9:AJ10 AJ12:AJ13">
    <cfRule type="expression" dxfId="58" priority="26">
      <formula>$E$4=0</formula>
    </cfRule>
  </conditionalFormatting>
  <conditionalFormatting sqref="AT27:AV27">
    <cfRule type="expression" dxfId="57" priority="21">
      <formula>$E$4=0</formula>
    </cfRule>
  </conditionalFormatting>
  <conditionalFormatting sqref="AT9:AV10 AT13:AV13 AU11:AU12 AT12:AU12">
    <cfRule type="expression" dxfId="56" priority="22">
      <formula>$E$4=0</formula>
    </cfRule>
  </conditionalFormatting>
  <conditionalFormatting sqref="AS27">
    <cfRule type="expression" dxfId="55" priority="17">
      <formula>$E$4=0</formula>
    </cfRule>
  </conditionalFormatting>
  <conditionalFormatting sqref="AS12:AS13 AS9:AS10">
    <cfRule type="expression" dxfId="54" priority="18">
      <formula>$E$4=0</formula>
    </cfRule>
  </conditionalFormatting>
  <conditionalFormatting sqref="AP27:AR27">
    <cfRule type="expression" dxfId="53" priority="13">
      <formula>$E$4=0</formula>
    </cfRule>
  </conditionalFormatting>
  <conditionalFormatting sqref="AP9:AR10 AP12:AR13">
    <cfRule type="expression" dxfId="52" priority="14">
      <formula>$E$4=0</formula>
    </cfRule>
  </conditionalFormatting>
  <conditionalFormatting sqref="AN27:AO27">
    <cfRule type="expression" dxfId="51" priority="9">
      <formula>$E$4=0</formula>
    </cfRule>
  </conditionalFormatting>
  <conditionalFormatting sqref="AN12:AO12 AN9:AO10 AO13">
    <cfRule type="expression" dxfId="50" priority="10">
      <formula>$E$4=0</formula>
    </cfRule>
  </conditionalFormatting>
  <conditionalFormatting sqref="AK27:AM27">
    <cfRule type="expression" dxfId="49" priority="7">
      <formula>$E$4=0</formula>
    </cfRule>
  </conditionalFormatting>
  <conditionalFormatting sqref="AK9:AM10 AK12:AM13">
    <cfRule type="expression" dxfId="48" priority="8">
      <formula>$E$4=0</formula>
    </cfRule>
  </conditionalFormatting>
  <conditionalFormatting sqref="C28">
    <cfRule type="expression" dxfId="47" priority="1091">
      <formula>$C$28=$BV$22</formula>
    </cfRule>
  </conditionalFormatting>
  <conditionalFormatting sqref="C28:D28">
    <cfRule type="expression" dxfId="46" priority="1092">
      <formula>$C$28=$BV$21</formula>
    </cfRule>
  </conditionalFormatting>
  <conditionalFormatting sqref="C32">
    <cfRule type="expression" dxfId="45" priority="1093">
      <formula>$C$32=$BV$42</formula>
    </cfRule>
  </conditionalFormatting>
  <conditionalFormatting sqref="H37">
    <cfRule type="expression" dxfId="44" priority="1094">
      <formula>AND($E$8=$BV$59,$H$37&gt;30)</formula>
    </cfRule>
    <cfRule type="expression" dxfId="43" priority="1095">
      <formula>AND($E$8=$BV$60,$H$37&gt;40)</formula>
    </cfRule>
  </conditionalFormatting>
  <conditionalFormatting sqref="K5">
    <cfRule type="expression" dxfId="42" priority="1096">
      <formula>AND(OR($K$5&lt;200,$K$5&gt;900),$E$4&gt;0,$E$8=$BV$60)</formula>
    </cfRule>
    <cfRule type="expression" dxfId="41" priority="1097">
      <formula>$E$9=0</formula>
    </cfRule>
    <cfRule type="expression" dxfId="40" priority="1098">
      <formula>AND(OR($K$5&lt;200,$K$5&gt;700),$E$4&gt;0,$E$8=$BV$59)</formula>
    </cfRule>
  </conditionalFormatting>
  <conditionalFormatting sqref="E11">
    <cfRule type="expression" dxfId="39" priority="1099">
      <formula>AND($E$8=$BV$60,OR($E$11=$BV$25,$E$11=$BV$26))</formula>
    </cfRule>
    <cfRule type="cellIs" dxfId="38" priority="1100" operator="greaterThan">
      <formula>0</formula>
    </cfRule>
  </conditionalFormatting>
  <conditionalFormatting sqref="S11:S14 R17:S24 R6:AI6 S4:AI5 R1:AI2 R16:AW16 S7:AI8 S9:T10 T11:T12 AJ1:AW10 AG9:AI12 T13:AM13 AO13:AW13 AO15:AW15 AN13:AN15 AJ11:AU12 R25:AW26 R28:AW38 R27:AB27 AI27:AW27 R15:AM15 R3:T3 V3:W3 Z3:AI3">
    <cfRule type="expression" dxfId="37" priority="1101">
      <formula>$N$3=$CE$9</formula>
    </cfRule>
  </conditionalFormatting>
  <conditionalFormatting sqref="T16:AW16 T1:AW2 T13:AM13 T9:T12 AG9:AW10 AO13:AW13 AO15:AW15 AN13:AN15 AG11:AU12 T25:AW26 T28:AW38 T27:AB27 AI27:AW27 T15:AM15 T4:AW8 T3 V3:W3 Z3:AW3">
    <cfRule type="expression" dxfId="36" priority="1114">
      <formula>$N$3=$CE$10</formula>
    </cfRule>
  </conditionalFormatting>
  <conditionalFormatting sqref="R38">
    <cfRule type="expression" dxfId="35" priority="1120">
      <formula>$N$3=$CE$11</formula>
    </cfRule>
  </conditionalFormatting>
  <conditionalFormatting sqref="U9:AF12">
    <cfRule type="cellIs" dxfId="34" priority="3" operator="equal">
      <formula>0</formula>
    </cfRule>
  </conditionalFormatting>
  <conditionalFormatting sqref="AW12">
    <cfRule type="expression" dxfId="33" priority="2">
      <formula>$E$4=0</formula>
    </cfRule>
  </conditionalFormatting>
  <conditionalFormatting sqref="AV12">
    <cfRule type="expression" dxfId="32" priority="1">
      <formula>$E$4=0</formula>
    </cfRule>
  </conditionalFormatting>
  <dataValidations count="12">
    <dataValidation type="list" allowBlank="1" showInputMessage="1" showErrorMessage="1" sqref="E9">
      <formula1>$BV$4:$BV$5</formula1>
    </dataValidation>
    <dataValidation type="list" allowBlank="1" showInputMessage="1" showErrorMessage="1" sqref="E10">
      <formula1>$BV$33:$BV$35</formula1>
    </dataValidation>
    <dataValidation type="list" allowBlank="1" showInputMessage="1" showErrorMessage="1" sqref="E5">
      <formula1>$BV$15:$BV$19</formula1>
    </dataValidation>
    <dataValidation type="whole" allowBlank="1" showInputMessage="1" showErrorMessage="1" sqref="E12">
      <formula1>0</formula1>
      <formula2>20</formula2>
    </dataValidation>
    <dataValidation type="list" allowBlank="1" showInputMessage="1" showErrorMessage="1" sqref="C22:C26">
      <formula1>$BV$8:$BV$10</formula1>
    </dataValidation>
    <dataValidation type="list" allowBlank="1" showInputMessage="1" showErrorMessage="1" sqref="E14">
      <formula1>$BV$46:$BV$47</formula1>
    </dataValidation>
    <dataValidation type="list" allowBlank="1" showInputMessage="1" showErrorMessage="1" sqref="E8">
      <formula1>$BV$59:$BV$60</formula1>
    </dataValidation>
    <dataValidation type="list" allowBlank="1" showInputMessage="1" showErrorMessage="1" sqref="E6">
      <formula1>$BY$4:$BY$5</formula1>
    </dataValidation>
    <dataValidation type="whole" allowBlank="1" showInputMessage="1" showErrorMessage="1" sqref="E13">
      <formula1>150</formula1>
      <formula2>K4</formula2>
    </dataValidation>
    <dataValidation type="list" allowBlank="1" showInputMessage="1" showErrorMessage="1" sqref="E11">
      <formula1>$BV$25:$BV$28</formula1>
    </dataValidation>
    <dataValidation type="list" allowBlank="1" showInputMessage="1" showErrorMessage="1" sqref="E7:H7">
      <formula1>$BV$65:$BV$77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1"/>
    <pageSetUpPr fitToPage="1"/>
  </sheetPr>
  <dimension ref="B1:CH63"/>
  <sheetViews>
    <sheetView tabSelected="1" zoomScale="70" zoomScaleNormal="7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42.664062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hidden="1" customWidth="1"/>
    <col min="19" max="19" width="1.77734375" style="5" hidden="1" customWidth="1"/>
    <col min="20" max="20" width="24.77734375" style="5" hidden="1" customWidth="1"/>
    <col min="21" max="32" width="11.77734375" style="54" hidden="1" customWidth="1"/>
    <col min="33" max="33" width="14.77734375" style="54" hidden="1" customWidth="1"/>
    <col min="34" max="34" width="14.77734375" style="331" hidden="1" customWidth="1"/>
    <col min="35" max="46" width="5.77734375" style="331" hidden="1" customWidth="1"/>
    <col min="47" max="49" width="14.77734375" style="331" hidden="1" customWidth="1"/>
    <col min="50" max="50" width="9.5546875" style="54" hidden="1" customWidth="1"/>
    <col min="51" max="51" width="16.21875" style="54" hidden="1" customWidth="1"/>
    <col min="52" max="53" width="12.21875" style="54" hidden="1" customWidth="1"/>
    <col min="54" max="54" width="14.77734375" style="54" hidden="1" customWidth="1"/>
    <col min="55" max="55" width="14" style="54" hidden="1" customWidth="1"/>
    <col min="56" max="56" width="11.77734375" style="54" hidden="1" customWidth="1"/>
    <col min="57" max="58" width="12.21875" style="54" hidden="1" customWidth="1"/>
    <col min="59" max="60" width="11.33203125" style="54" hidden="1" customWidth="1"/>
    <col min="61" max="61" width="11.109375" style="54" hidden="1" customWidth="1"/>
    <col min="62" max="62" width="11.6640625" style="54" hidden="1" customWidth="1"/>
    <col min="63" max="63" width="10.33203125" style="54" hidden="1" customWidth="1"/>
    <col min="64" max="69" width="9.5546875" style="54" hidden="1" customWidth="1"/>
    <col min="70" max="72" width="13.88671875" style="54" hidden="1" customWidth="1"/>
    <col min="73" max="73" width="9.5546875" style="54" hidden="1" customWidth="1"/>
    <col min="74" max="74" width="27.33203125" style="54" hidden="1" customWidth="1"/>
    <col min="75" max="76" width="8.88671875" style="54" hidden="1" customWidth="1"/>
    <col min="77" max="77" width="25.5546875" style="54" hidden="1" customWidth="1"/>
    <col min="78" max="78" width="14.33203125" style="54" hidden="1" customWidth="1"/>
    <col min="79" max="86" width="8.88671875" style="54" hidden="1" customWidth="1"/>
    <col min="87" max="89" width="8.88671875" style="54" customWidth="1"/>
    <col min="90" max="16384" width="8.88671875" style="54"/>
  </cols>
  <sheetData>
    <row r="1" spans="2:83" ht="25.05" customHeight="1" x14ac:dyDescent="0.3">
      <c r="B1" s="574" t="s">
        <v>104</v>
      </c>
      <c r="C1" s="574"/>
      <c r="D1" s="574"/>
      <c r="E1" s="574"/>
      <c r="F1" s="574"/>
      <c r="G1" s="574"/>
      <c r="H1" s="574"/>
      <c r="I1" s="149"/>
      <c r="J1" s="574" t="s">
        <v>105</v>
      </c>
      <c r="K1" s="574"/>
      <c r="L1" s="574"/>
      <c r="M1" s="574"/>
      <c r="N1" s="574"/>
      <c r="O1" s="574"/>
    </row>
    <row r="2" spans="2:83" ht="25.05" customHeight="1" thickBot="1" x14ac:dyDescent="0.35"/>
    <row r="3" spans="2:83" ht="25.05" customHeight="1" thickBot="1" x14ac:dyDescent="0.35">
      <c r="B3" s="575" t="s">
        <v>121</v>
      </c>
      <c r="C3" s="576"/>
      <c r="D3" s="576"/>
      <c r="E3" s="625">
        <v>2600</v>
      </c>
      <c r="F3" s="583"/>
      <c r="G3" s="583"/>
      <c r="H3" s="584"/>
      <c r="J3" s="592" t="s">
        <v>263</v>
      </c>
      <c r="K3" s="593"/>
      <c r="N3" s="421"/>
      <c r="O3" s="421"/>
      <c r="R3" s="3"/>
      <c r="S3" s="3"/>
      <c r="T3" s="3"/>
      <c r="V3" s="366"/>
      <c r="W3" s="661" t="s">
        <v>417</v>
      </c>
      <c r="X3" s="661"/>
      <c r="Y3" s="661"/>
      <c r="Z3" s="560" t="s">
        <v>418</v>
      </c>
      <c r="AA3" s="560"/>
      <c r="AB3" s="366"/>
      <c r="AC3" s="366"/>
      <c r="BE3" s="241" t="s">
        <v>418</v>
      </c>
    </row>
    <row r="4" spans="2:83" ht="25.05" customHeight="1" x14ac:dyDescent="0.3">
      <c r="B4" s="577" t="s">
        <v>120</v>
      </c>
      <c r="C4" s="578"/>
      <c r="D4" s="578"/>
      <c r="E4" s="624">
        <v>800</v>
      </c>
      <c r="F4" s="585"/>
      <c r="G4" s="585"/>
      <c r="H4" s="586"/>
      <c r="J4" s="107" t="s">
        <v>13</v>
      </c>
      <c r="K4" s="306">
        <f>IF(E8=BV19,E3-82,E3-74)</f>
        <v>2518</v>
      </c>
      <c r="L4" s="5"/>
      <c r="M4" s="5"/>
      <c r="N4" s="5"/>
      <c r="O4" s="5"/>
      <c r="R4" s="533" t="s">
        <v>453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</row>
    <row r="5" spans="2:83" ht="25.05" customHeight="1" thickBot="1" x14ac:dyDescent="0.35">
      <c r="B5" s="577" t="s">
        <v>442</v>
      </c>
      <c r="C5" s="578"/>
      <c r="D5" s="578"/>
      <c r="E5" s="626">
        <v>0</v>
      </c>
      <c r="F5" s="525"/>
      <c r="G5" s="525"/>
      <c r="H5" s="526"/>
      <c r="J5" s="298" t="s">
        <v>14</v>
      </c>
      <c r="K5" s="307">
        <f>ROUNDDOWN(E4/E9,0)</f>
        <v>800</v>
      </c>
      <c r="L5" s="5"/>
      <c r="R5" s="534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577</v>
      </c>
      <c r="BA5" s="141"/>
      <c r="BB5" s="141"/>
      <c r="BC5" s="185">
        <v>5350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5"/>
      <c r="BV5" s="5"/>
      <c r="BW5" s="5"/>
      <c r="BX5" s="5"/>
      <c r="BY5" s="5"/>
      <c r="BZ5" s="5"/>
      <c r="CA5" s="5"/>
      <c r="CB5" s="5"/>
    </row>
    <row r="6" spans="2:83" ht="25.05" customHeight="1" thickBot="1" x14ac:dyDescent="0.35">
      <c r="B6" s="577" t="s">
        <v>546</v>
      </c>
      <c r="C6" s="578"/>
      <c r="D6" s="578"/>
      <c r="E6" s="626">
        <v>0</v>
      </c>
      <c r="F6" s="525"/>
      <c r="G6" s="525"/>
      <c r="H6" s="526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578</v>
      </c>
      <c r="BA6" s="141"/>
      <c r="BB6" s="141"/>
      <c r="BC6" s="141">
        <v>5350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5"/>
      <c r="BV6" s="114"/>
      <c r="BW6" s="5"/>
      <c r="BX6" s="113"/>
      <c r="BY6" s="1" t="s">
        <v>451</v>
      </c>
      <c r="BZ6" s="1" t="s">
        <v>237</v>
      </c>
      <c r="CA6" s="113">
        <v>2</v>
      </c>
      <c r="CB6" s="5"/>
    </row>
    <row r="7" spans="2:83" ht="25.05" customHeight="1" x14ac:dyDescent="0.3">
      <c r="B7" s="577" t="s">
        <v>122</v>
      </c>
      <c r="C7" s="578"/>
      <c r="D7" s="578"/>
      <c r="E7" s="676" t="s">
        <v>132</v>
      </c>
      <c r="F7" s="527"/>
      <c r="G7" s="527"/>
      <c r="H7" s="528"/>
      <c r="J7" s="647" t="s">
        <v>181</v>
      </c>
      <c r="K7" s="648"/>
      <c r="L7" s="648"/>
      <c r="M7" s="648"/>
      <c r="N7" s="488"/>
      <c r="O7" s="304"/>
      <c r="P7" s="268"/>
      <c r="Q7" s="268"/>
      <c r="R7" s="258"/>
      <c r="S7" s="194"/>
      <c r="T7" s="358"/>
      <c r="U7" s="563" t="s">
        <v>100</v>
      </c>
      <c r="V7" s="563"/>
      <c r="W7" s="563"/>
      <c r="X7" s="563"/>
      <c r="Y7" s="563"/>
      <c r="Z7" s="563"/>
      <c r="AA7" s="563"/>
      <c r="AB7" s="563"/>
      <c r="AC7" s="563"/>
      <c r="AD7" s="563"/>
      <c r="AE7" s="563"/>
      <c r="AF7" s="563"/>
      <c r="AG7" s="563"/>
      <c r="AH7" s="564"/>
      <c r="AI7" s="434"/>
      <c r="AJ7" s="434"/>
      <c r="AK7" s="434"/>
      <c r="AL7" s="434"/>
      <c r="AM7" s="434"/>
      <c r="AN7" s="434"/>
      <c r="AO7" s="434"/>
      <c r="AP7" s="434"/>
      <c r="AQ7" s="434"/>
      <c r="AR7" s="434"/>
      <c r="AS7" s="434"/>
      <c r="AT7" s="434"/>
      <c r="AU7" s="434"/>
      <c r="AV7" s="434"/>
      <c r="AW7" s="434"/>
      <c r="AX7" s="3" t="s">
        <v>265</v>
      </c>
      <c r="AY7" s="3"/>
      <c r="AZ7" s="185" t="s">
        <v>258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5"/>
      <c r="BV7" s="106"/>
      <c r="BX7" s="5"/>
      <c r="BY7" s="1" t="s">
        <v>452</v>
      </c>
      <c r="BZ7" s="1" t="s">
        <v>253</v>
      </c>
      <c r="CA7" s="5"/>
    </row>
    <row r="8" spans="2:83" ht="25.05" customHeight="1" x14ac:dyDescent="0.3">
      <c r="B8" s="641" t="s">
        <v>123</v>
      </c>
      <c r="C8" s="642"/>
      <c r="D8" s="642"/>
      <c r="E8" s="743" t="s">
        <v>588</v>
      </c>
      <c r="F8" s="744"/>
      <c r="G8" s="744"/>
      <c r="H8" s="745"/>
      <c r="J8" s="483" t="s">
        <v>0</v>
      </c>
      <c r="K8" s="484" t="s">
        <v>1</v>
      </c>
      <c r="L8" s="484" t="s">
        <v>7</v>
      </c>
      <c r="M8" s="484" t="s">
        <v>9</v>
      </c>
      <c r="N8" s="205" t="s">
        <v>101</v>
      </c>
      <c r="O8" s="239" t="s">
        <v>23</v>
      </c>
      <c r="P8" s="303"/>
      <c r="Q8" s="303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5"/>
      <c r="BY8" s="115"/>
    </row>
    <row r="9" spans="2:83" ht="25.05" customHeight="1" thickBot="1" x14ac:dyDescent="0.4">
      <c r="B9" s="667" t="s">
        <v>124</v>
      </c>
      <c r="C9" s="668"/>
      <c r="D9" s="668"/>
      <c r="E9" s="672">
        <v>1</v>
      </c>
      <c r="F9" s="600"/>
      <c r="G9" s="600"/>
      <c r="H9" s="601"/>
      <c r="J9" s="22" t="s">
        <v>513</v>
      </c>
      <c r="K9" s="238" t="s">
        <v>534</v>
      </c>
      <c r="L9" s="125">
        <f>K4-32</f>
        <v>2486</v>
      </c>
      <c r="M9" s="126">
        <f>E9*2</f>
        <v>2</v>
      </c>
      <c r="N9" s="126"/>
      <c r="O9" s="339">
        <f>IF(L9&gt;2650,M9,M9/2)</f>
        <v>1</v>
      </c>
      <c r="P9" s="269"/>
      <c r="Q9" s="269"/>
      <c r="R9" s="260">
        <f>O9*BT9</f>
        <v>5840.38</v>
      </c>
      <c r="S9" s="255"/>
      <c r="T9" s="420" t="str">
        <f>J9</f>
        <v>Вертикальный профиль</v>
      </c>
      <c r="U9" s="416">
        <f>IF($Z$3=$CE$21,AZ9,IF($Z$3=$CE$27,AZ37,IF($Z$3=$CE$28,AZ52,AZ22)))</f>
        <v>0</v>
      </c>
      <c r="V9" s="416">
        <f t="shared" ref="V9:AF9" si="0">IF($Z$3=$CE$21,BA9,IF($Z$3=$CE$27,BA37,IF($Z$3=$CE$28,BA52,BA22)))</f>
        <v>0</v>
      </c>
      <c r="W9" s="416">
        <f t="shared" si="0"/>
        <v>0</v>
      </c>
      <c r="X9" s="416">
        <f t="shared" si="0"/>
        <v>0</v>
      </c>
      <c r="Y9" s="416">
        <f t="shared" si="0"/>
        <v>0</v>
      </c>
      <c r="Z9" s="416">
        <f t="shared" si="0"/>
        <v>0</v>
      </c>
      <c r="AA9" s="416">
        <f t="shared" si="0"/>
        <v>0</v>
      </c>
      <c r="AB9" s="416">
        <f t="shared" si="0"/>
        <v>0</v>
      </c>
      <c r="AC9" s="416">
        <f t="shared" si="0"/>
        <v>0</v>
      </c>
      <c r="AD9" s="416">
        <f t="shared" si="0"/>
        <v>0</v>
      </c>
      <c r="AE9" s="416">
        <f t="shared" si="0"/>
        <v>0</v>
      </c>
      <c r="AF9" s="416">
        <f t="shared" si="0"/>
        <v>1</v>
      </c>
      <c r="AG9" s="123"/>
      <c r="AH9" s="417">
        <f>R9</f>
        <v>5840.38</v>
      </c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362">
        <v>0.46</v>
      </c>
      <c r="AY9" s="3">
        <f>AX9*L9*M9/1000</f>
        <v>2.2871199999999998</v>
      </c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315">
        <f>O9</f>
        <v>1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5840.38</v>
      </c>
      <c r="BU9" s="5"/>
      <c r="CE9" s="1" t="s">
        <v>455</v>
      </c>
    </row>
    <row r="10" spans="2:83" ht="25.05" customHeight="1" x14ac:dyDescent="0.3">
      <c r="J10" s="22" t="s">
        <v>135</v>
      </c>
      <c r="K10" s="235" t="s">
        <v>535</v>
      </c>
      <c r="L10" s="125">
        <f>E4</f>
        <v>800</v>
      </c>
      <c r="M10" s="126">
        <v>1</v>
      </c>
      <c r="N10" s="496">
        <f>L10*M10</f>
        <v>800</v>
      </c>
      <c r="O10" s="495">
        <f>IF(E4&gt;BC5,0,BM10+IF(BL10&gt;0,1,0))</f>
        <v>1</v>
      </c>
      <c r="P10" s="269"/>
      <c r="Q10" s="269"/>
      <c r="R10" s="683">
        <f>O10*BT10</f>
        <v>6096.53</v>
      </c>
      <c r="S10" s="274"/>
      <c r="T10" s="671" t="str">
        <f>J10</f>
        <v>Направляющая верхняя</v>
      </c>
      <c r="U10" s="669">
        <f>IF($Z$3=$CE$21,AZ10,IF($Z$3=$CE$27,AZ38,IF($Z$3=$CE$28,AZ53,AZ23)))</f>
        <v>0</v>
      </c>
      <c r="V10" s="669">
        <f t="shared" ref="V10:AF10" si="1">IF($Z$3=$CE$21,BA10,IF($Z$3=$CE$27,BA38,IF($Z$3=$CE$28,BA53,BA23)))</f>
        <v>0</v>
      </c>
      <c r="W10" s="669">
        <f t="shared" si="1"/>
        <v>0</v>
      </c>
      <c r="X10" s="669">
        <f t="shared" si="1"/>
        <v>0</v>
      </c>
      <c r="Y10" s="669">
        <f t="shared" si="1"/>
        <v>1</v>
      </c>
      <c r="Z10" s="669">
        <f t="shared" si="1"/>
        <v>0</v>
      </c>
      <c r="AA10" s="669">
        <f t="shared" si="1"/>
        <v>0</v>
      </c>
      <c r="AB10" s="669">
        <f t="shared" si="1"/>
        <v>0</v>
      </c>
      <c r="AC10" s="669">
        <f t="shared" si="1"/>
        <v>0</v>
      </c>
      <c r="AD10" s="669">
        <f t="shared" si="1"/>
        <v>0</v>
      </c>
      <c r="AE10" s="669">
        <f t="shared" si="1"/>
        <v>0</v>
      </c>
      <c r="AF10" s="669">
        <f t="shared" si="1"/>
        <v>0</v>
      </c>
      <c r="AG10" s="589">
        <f>AU10</f>
        <v>2500</v>
      </c>
      <c r="AH10" s="670">
        <f>Y10*BT10*0.5+AE10*BT10</f>
        <v>3048.2649999999999</v>
      </c>
      <c r="AI10" s="446">
        <f>U10*U8</f>
        <v>0</v>
      </c>
      <c r="AJ10" s="446">
        <f t="shared" ref="AJ10:AT10" si="2">V10*V8</f>
        <v>0</v>
      </c>
      <c r="AK10" s="446">
        <f t="shared" si="2"/>
        <v>0</v>
      </c>
      <c r="AL10" s="446">
        <f t="shared" si="2"/>
        <v>0</v>
      </c>
      <c r="AM10" s="446">
        <f t="shared" si="2"/>
        <v>2500</v>
      </c>
      <c r="AN10" s="446">
        <f t="shared" si="2"/>
        <v>0</v>
      </c>
      <c r="AO10" s="446">
        <f t="shared" si="2"/>
        <v>0</v>
      </c>
      <c r="AP10" s="446">
        <f t="shared" si="2"/>
        <v>0</v>
      </c>
      <c r="AQ10" s="446">
        <f t="shared" si="2"/>
        <v>0</v>
      </c>
      <c r="AR10" s="446">
        <f t="shared" si="2"/>
        <v>0</v>
      </c>
      <c r="AS10" s="446">
        <f t="shared" si="2"/>
        <v>0</v>
      </c>
      <c r="AT10" s="446">
        <f t="shared" si="2"/>
        <v>0</v>
      </c>
      <c r="AU10" s="446">
        <f>SUM(AI10:AT10)</f>
        <v>2500</v>
      </c>
      <c r="AV10" s="446"/>
      <c r="AW10" s="446"/>
      <c r="AX10" s="3"/>
      <c r="AY10" s="3"/>
      <c r="AZ10" s="197"/>
      <c r="BA10" s="197"/>
      <c r="BB10" s="197"/>
      <c r="BC10" s="197"/>
      <c r="BD10" s="198">
        <f>IF(AND(BL10&gt;0,BL10&lt;=2500),1,0)</f>
        <v>1</v>
      </c>
      <c r="BE10" s="197"/>
      <c r="BF10" s="197"/>
      <c r="BG10" s="197"/>
      <c r="BH10" s="197"/>
      <c r="BI10" s="197"/>
      <c r="BJ10" s="198">
        <f>IF(AND(BL10&gt;2500,BL10&lt;=4950),BM10+1,BM10)</f>
        <v>0</v>
      </c>
      <c r="BK10" s="197"/>
      <c r="BL10" s="199">
        <f>N10-BC5*BM10</f>
        <v>800</v>
      </c>
      <c r="BM10" s="198">
        <f>INT(N10/BC5)</f>
        <v>0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6096.53</v>
      </c>
      <c r="BU10" s="5"/>
      <c r="BV10" s="65" t="s">
        <v>10</v>
      </c>
      <c r="CE10" s="1" t="s">
        <v>453</v>
      </c>
    </row>
    <row r="11" spans="2:83" ht="25.05" customHeight="1" x14ac:dyDescent="0.3">
      <c r="J11" s="493" t="s">
        <v>533</v>
      </c>
      <c r="K11" s="238" t="s">
        <v>536</v>
      </c>
      <c r="L11" s="125">
        <f>L10</f>
        <v>800</v>
      </c>
      <c r="M11" s="126">
        <v>2</v>
      </c>
      <c r="N11" s="125">
        <f>L11*M11</f>
        <v>1600</v>
      </c>
      <c r="O11" s="339">
        <f>IF(E4&gt;BC5,0,BM12+IF(BL12&gt;0,1,0))</f>
        <v>1</v>
      </c>
      <c r="P11" s="269"/>
      <c r="Q11" s="269"/>
      <c r="R11" s="684"/>
      <c r="S11" s="274"/>
      <c r="T11" s="671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589"/>
      <c r="AH11" s="670"/>
      <c r="AI11" s="446"/>
      <c r="AJ11" s="446"/>
      <c r="AK11" s="446"/>
      <c r="AL11" s="446"/>
      <c r="AM11" s="446"/>
      <c r="AN11" s="446"/>
      <c r="AO11" s="446"/>
      <c r="AP11" s="446"/>
      <c r="AQ11" s="446"/>
      <c r="AR11" s="446"/>
      <c r="AS11" s="446"/>
      <c r="AT11" s="446"/>
      <c r="AU11" s="446"/>
      <c r="AV11" s="446"/>
      <c r="AW11" s="446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"/>
      <c r="BM11" s="3"/>
      <c r="BN11" s="196"/>
      <c r="BO11" s="141"/>
      <c r="BP11" s="188"/>
      <c r="BQ11" s="188"/>
      <c r="BR11" s="188"/>
      <c r="BS11" s="144"/>
      <c r="BT11" s="144"/>
      <c r="BU11" s="5"/>
      <c r="BV11" s="65" t="s">
        <v>11</v>
      </c>
      <c r="CE11" s="1" t="s">
        <v>454</v>
      </c>
    </row>
    <row r="12" spans="2:83" ht="25.05" customHeight="1" thickBot="1" x14ac:dyDescent="0.35">
      <c r="J12" s="22" t="s">
        <v>532</v>
      </c>
      <c r="K12" s="238" t="s">
        <v>537</v>
      </c>
      <c r="L12" s="482">
        <f>K5-24</f>
        <v>776</v>
      </c>
      <c r="M12" s="494">
        <f>E9</f>
        <v>1</v>
      </c>
      <c r="N12" s="482">
        <f>L12*M12</f>
        <v>776</v>
      </c>
      <c r="O12" s="486">
        <f>BM13+IF(BL13&gt;0,1,0)</f>
        <v>1</v>
      </c>
      <c r="P12" s="269"/>
      <c r="Q12" s="269"/>
      <c r="R12" s="260" t="e">
        <f>O11*BT12</f>
        <v>#N/A</v>
      </c>
      <c r="S12" s="255"/>
      <c r="T12" s="420" t="str">
        <f>J11</f>
        <v>Накладка декоративная направляющей</v>
      </c>
      <c r="U12" s="416">
        <f>IF($Z$3=$CE$21,AZ12,IF($Z$3=$CE$27,AZ40,IF($Z$3=$CE$28,AZ55,AZ25)))</f>
        <v>0</v>
      </c>
      <c r="V12" s="416">
        <f t="shared" ref="V12:AF12" si="3">IF($Z$3=$CE$21,BA12,IF($Z$3=$CE$27,BA40,IF($Z$3=$CE$28,BA55,BA25)))</f>
        <v>0</v>
      </c>
      <c r="W12" s="416">
        <f t="shared" si="3"/>
        <v>0</v>
      </c>
      <c r="X12" s="416">
        <f t="shared" si="3"/>
        <v>0</v>
      </c>
      <c r="Y12" s="416">
        <f t="shared" si="3"/>
        <v>1</v>
      </c>
      <c r="Z12" s="416">
        <f t="shared" si="3"/>
        <v>0</v>
      </c>
      <c r="AA12" s="416">
        <f t="shared" si="3"/>
        <v>0</v>
      </c>
      <c r="AB12" s="416">
        <f t="shared" si="3"/>
        <v>0</v>
      </c>
      <c r="AC12" s="416">
        <f t="shared" si="3"/>
        <v>0</v>
      </c>
      <c r="AD12" s="416">
        <f t="shared" si="3"/>
        <v>0</v>
      </c>
      <c r="AE12" s="416">
        <f t="shared" si="3"/>
        <v>0</v>
      </c>
      <c r="AF12" s="416">
        <f t="shared" si="3"/>
        <v>0</v>
      </c>
      <c r="AG12" s="401">
        <f>AU12</f>
        <v>2500</v>
      </c>
      <c r="AH12" s="405" t="e">
        <f>(Y12*0.5+AE12)*BT12</f>
        <v>#N/A</v>
      </c>
      <c r="AI12" s="446">
        <f>U12*U8</f>
        <v>0</v>
      </c>
      <c r="AJ12" s="446">
        <f t="shared" ref="AJ12:AT12" si="4">V12*V8</f>
        <v>0</v>
      </c>
      <c r="AK12" s="446">
        <f t="shared" si="4"/>
        <v>0</v>
      </c>
      <c r="AL12" s="446">
        <f t="shared" si="4"/>
        <v>0</v>
      </c>
      <c r="AM12" s="446">
        <f t="shared" si="4"/>
        <v>2500</v>
      </c>
      <c r="AN12" s="446">
        <f t="shared" si="4"/>
        <v>0</v>
      </c>
      <c r="AO12" s="446">
        <f t="shared" si="4"/>
        <v>0</v>
      </c>
      <c r="AP12" s="446">
        <f t="shared" si="4"/>
        <v>0</v>
      </c>
      <c r="AQ12" s="446">
        <f t="shared" si="4"/>
        <v>0</v>
      </c>
      <c r="AR12" s="446">
        <f t="shared" si="4"/>
        <v>0</v>
      </c>
      <c r="AS12" s="446">
        <f t="shared" si="4"/>
        <v>0</v>
      </c>
      <c r="AT12" s="446">
        <f t="shared" si="4"/>
        <v>0</v>
      </c>
      <c r="AU12" s="446">
        <f t="shared" ref="AU12:AU15" si="5">SUM(AI12:AT12)</f>
        <v>2500</v>
      </c>
      <c r="AV12" s="436"/>
      <c r="AW12" s="436"/>
      <c r="AX12" s="363">
        <v>0.80700000000000005</v>
      </c>
      <c r="AY12" s="3">
        <f>AX12*L12*M12/1000</f>
        <v>0.62623200000000012</v>
      </c>
      <c r="AZ12" s="200"/>
      <c r="BA12" s="200"/>
      <c r="BB12" s="200"/>
      <c r="BC12" s="200"/>
      <c r="BD12" s="201">
        <f>IF(AND(BL12&gt;0,BL12&lt;=2500),1,0)</f>
        <v>1</v>
      </c>
      <c r="BE12" s="200"/>
      <c r="BF12" s="200"/>
      <c r="BG12" s="200"/>
      <c r="BH12" s="200"/>
      <c r="BI12" s="200"/>
      <c r="BJ12" s="201">
        <f>IF(AND(BL12&gt;2500,BL12&lt;=5025),BM12+1,BM12)</f>
        <v>0</v>
      </c>
      <c r="BK12" s="200"/>
      <c r="BL12" s="202">
        <f>N11-BC6*BM12</f>
        <v>1600</v>
      </c>
      <c r="BM12" s="201">
        <f>INT(N11/BC6)</f>
        <v>0</v>
      </c>
      <c r="BN12" s="141"/>
      <c r="BO12" s="141"/>
      <c r="BP12" s="188"/>
      <c r="BQ12" s="188"/>
      <c r="BR12" s="188"/>
      <c r="BS12" s="144"/>
      <c r="BT12" s="144" t="e">
        <f t="array" ref="BT12">INDEX(Цены!J:J,MATCH(J11&amp;$E$7,Цены!C:C&amp;Цены!G:G,0))</f>
        <v>#N/A</v>
      </c>
      <c r="BU12" s="5"/>
      <c r="BV12" s="65" t="s">
        <v>12</v>
      </c>
      <c r="BW12" s="5"/>
      <c r="BX12" s="5"/>
      <c r="BY12" s="5"/>
    </row>
    <row r="13" spans="2:83" ht="25.05" customHeight="1" thickBot="1" x14ac:dyDescent="0.35">
      <c r="B13" s="58"/>
      <c r="C13" s="59"/>
      <c r="D13" s="59"/>
      <c r="E13" s="59"/>
      <c r="F13" s="59"/>
      <c r="G13" s="59"/>
      <c r="H13" s="60"/>
      <c r="J13" s="22" t="s">
        <v>538</v>
      </c>
      <c r="K13" s="238" t="s">
        <v>539</v>
      </c>
      <c r="L13" s="482">
        <f>L12</f>
        <v>776</v>
      </c>
      <c r="M13" s="494">
        <f>E9</f>
        <v>1</v>
      </c>
      <c r="N13" s="482">
        <f>L13*M13</f>
        <v>776</v>
      </c>
      <c r="O13" s="486">
        <f>BM13+IF(BL13&gt;0,1,0)</f>
        <v>1</v>
      </c>
      <c r="P13" s="269"/>
      <c r="Q13" s="269"/>
      <c r="R13" s="260" t="e">
        <f>O13*BT13</f>
        <v>#N/A</v>
      </c>
      <c r="S13" s="255"/>
      <c r="T13" s="420" t="str">
        <f t="shared" ref="T13" si="6">J13</f>
        <v>Горизонтальный нижний профиль</v>
      </c>
      <c r="U13" s="416">
        <f t="shared" ref="U13:U15" si="7">IF($Z$3=$CE$21,AZ13,IF($Z$3=$CE$27,AZ41,IF($Z$3=$CE$28,AZ56,AZ26)))</f>
        <v>1</v>
      </c>
      <c r="V13" s="416">
        <f t="shared" ref="V13:V15" si="8">IF($Z$3=$CE$21,BA13,IF($Z$3=$CE$27,BA41,IF($Z$3=$CE$28,BA56,BA26)))</f>
        <v>0</v>
      </c>
      <c r="W13" s="416">
        <f t="shared" ref="W13:W15" si="9">IF($Z$3=$CE$21,BB13,IF($Z$3=$CE$27,BB41,IF($Z$3=$CE$28,BB56,BB26)))</f>
        <v>0</v>
      </c>
      <c r="X13" s="416">
        <f t="shared" ref="X13:X15" si="10">IF($Z$3=$CE$21,BC13,IF($Z$3=$CE$27,BC41,IF($Z$3=$CE$28,BC56,BC26)))</f>
        <v>0</v>
      </c>
      <c r="Y13" s="416">
        <f t="shared" ref="Y13:Y15" si="11">IF($Z$3=$CE$21,BD13,IF($Z$3=$CE$27,BD41,IF($Z$3=$CE$28,BD56,BD26)))</f>
        <v>0</v>
      </c>
      <c r="Z13" s="416">
        <f t="shared" ref="Z13:Z15" si="12">IF($Z$3=$CE$21,BE13,IF($Z$3=$CE$27,BE41,IF($Z$3=$CE$28,BE56,BE26)))</f>
        <v>0</v>
      </c>
      <c r="AA13" s="416">
        <f t="shared" ref="AA13:AA15" si="13">IF($Z$3=$CE$21,BF13,IF($Z$3=$CE$27,BF41,IF($Z$3=$CE$28,BF56,BF26)))</f>
        <v>0</v>
      </c>
      <c r="AB13" s="416">
        <f t="shared" ref="AB13:AB15" si="14">IF($Z$3=$CE$21,BG13,IF($Z$3=$CE$27,BG41,IF($Z$3=$CE$28,BG56,BG26)))</f>
        <v>0</v>
      </c>
      <c r="AC13" s="416">
        <f t="shared" ref="AC13:AC15" si="15">IF($Z$3=$CE$21,BH13,IF($Z$3=$CE$27,BH41,IF($Z$3=$CE$28,BH56,BH26)))</f>
        <v>0</v>
      </c>
      <c r="AD13" s="416">
        <f t="shared" ref="AD13:AD15" si="16">IF($Z$3=$CE$21,BI13,IF($Z$3=$CE$27,BI41,IF($Z$3=$CE$28,BI56,BI26)))</f>
        <v>0</v>
      </c>
      <c r="AE13" s="416">
        <f t="shared" ref="AE13:AE15" si="17">IF($Z$3=$CE$21,BJ13,IF($Z$3=$CE$27,BJ41,IF($Z$3=$CE$28,BJ56,BJ26)))</f>
        <v>0</v>
      </c>
      <c r="AF13" s="416">
        <f t="shared" ref="AF13:AF15" si="18">IF($Z$3=$CE$21,BK13,IF($Z$3=$CE$27,BK41,IF($Z$3=$CE$28,BK56,BK26)))</f>
        <v>0</v>
      </c>
      <c r="AG13" s="401">
        <f t="shared" ref="AG13:AG15" si="19">AU13</f>
        <v>1000</v>
      </c>
      <c r="AH13" s="405" t="e">
        <f>(U13*0.2+V13*0.25+X13*0.4+Y13*0.5+AA13*0.6+AC13*0.75+AD13*0.8+AE13)*BT13</f>
        <v>#N/A</v>
      </c>
      <c r="AI13" s="446">
        <f>U13*U8</f>
        <v>1000</v>
      </c>
      <c r="AJ13" s="446">
        <f t="shared" ref="AJ13:AT13" si="20">V13*V8</f>
        <v>0</v>
      </c>
      <c r="AK13" s="446">
        <f t="shared" si="20"/>
        <v>0</v>
      </c>
      <c r="AL13" s="446">
        <f t="shared" si="20"/>
        <v>0</v>
      </c>
      <c r="AM13" s="446">
        <f t="shared" si="20"/>
        <v>0</v>
      </c>
      <c r="AN13" s="446">
        <f t="shared" si="20"/>
        <v>0</v>
      </c>
      <c r="AO13" s="446">
        <f t="shared" si="20"/>
        <v>0</v>
      </c>
      <c r="AP13" s="446">
        <f t="shared" si="20"/>
        <v>0</v>
      </c>
      <c r="AQ13" s="446">
        <f t="shared" si="20"/>
        <v>0</v>
      </c>
      <c r="AR13" s="446">
        <f t="shared" si="20"/>
        <v>0</v>
      </c>
      <c r="AS13" s="446">
        <f t="shared" si="20"/>
        <v>0</v>
      </c>
      <c r="AT13" s="446">
        <f t="shared" si="20"/>
        <v>0</v>
      </c>
      <c r="AU13" s="446">
        <f t="shared" si="5"/>
        <v>1000</v>
      </c>
      <c r="AV13" s="436"/>
      <c r="AW13" s="436"/>
      <c r="AX13" s="363">
        <v>0.64600000000000002</v>
      </c>
      <c r="AY13" s="3">
        <f>AX13*L13*M13/1000</f>
        <v>0.50129599999999996</v>
      </c>
      <c r="AZ13" s="141">
        <f>IF(AND(BL13&gt;0,BL13&lt;=1000),1,0)</f>
        <v>1</v>
      </c>
      <c r="BA13" s="143"/>
      <c r="BB13" s="143"/>
      <c r="BC13" s="141">
        <f>IF(AND(BL13&gt;1000,BL13&lt;=2000),1,0)</f>
        <v>0</v>
      </c>
      <c r="BD13" s="143"/>
      <c r="BE13" s="143"/>
      <c r="BF13" s="141">
        <f>IF(AND(BL13&gt;2000,BL13&lt;=3000),1,0)</f>
        <v>0</v>
      </c>
      <c r="BG13" s="143"/>
      <c r="BH13" s="143"/>
      <c r="BI13" s="141">
        <f>IF(AND(BL13&gt;3000,BL13&lt;=4000),1,0)</f>
        <v>0</v>
      </c>
      <c r="BJ13" s="141">
        <f>IF(AND(BL13&gt;4000,BL13&lt;=4950),BM13+1,BM13)</f>
        <v>0</v>
      </c>
      <c r="BK13" s="143"/>
      <c r="BL13" s="185">
        <f>N13-INT($BC$5/L13)*L13*BM13</f>
        <v>776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144" t="e">
        <f t="array" ref="BT13">INDEX(Цены!J:J,MATCH(J13&amp;$E$7,Цены!C:C&amp;Цены!G:G,0))</f>
        <v>#N/A</v>
      </c>
      <c r="BU13" s="5"/>
      <c r="BV13" s="5"/>
      <c r="BW13" s="5"/>
      <c r="BX13" s="5"/>
      <c r="BY13" s="5"/>
    </row>
    <row r="14" spans="2:83" ht="25.05" customHeight="1" thickBot="1" x14ac:dyDescent="0.4">
      <c r="B14" s="61" t="s">
        <v>107</v>
      </c>
      <c r="C14" s="62">
        <f>E5+1</f>
        <v>1</v>
      </c>
      <c r="D14" s="97"/>
      <c r="E14" s="98"/>
      <c r="F14" s="98"/>
      <c r="G14" s="98"/>
      <c r="H14" s="64"/>
      <c r="I14" s="76"/>
      <c r="J14" s="22" t="s">
        <v>540</v>
      </c>
      <c r="K14" s="238" t="s">
        <v>541</v>
      </c>
      <c r="L14" s="482">
        <f>IF(E5&gt;0,L13,0)</f>
        <v>0</v>
      </c>
      <c r="M14" s="494">
        <f>E9*E5</f>
        <v>0</v>
      </c>
      <c r="N14" s="482">
        <f>L14*M14</f>
        <v>0</v>
      </c>
      <c r="O14" s="486">
        <f>BM14+IF(BL14&gt;0,1,0)</f>
        <v>0</v>
      </c>
      <c r="P14" s="269"/>
      <c r="Q14" s="269"/>
      <c r="R14" s="260" t="e">
        <f>O14*BT14</f>
        <v>#N/A</v>
      </c>
      <c r="S14" s="255"/>
      <c r="T14" s="420" t="str">
        <f>J14</f>
        <v>Горизонтальный разделительный  профиль</v>
      </c>
      <c r="U14" s="416">
        <f t="shared" si="7"/>
        <v>0</v>
      </c>
      <c r="V14" s="416">
        <f t="shared" si="8"/>
        <v>0</v>
      </c>
      <c r="W14" s="416">
        <f t="shared" si="9"/>
        <v>0</v>
      </c>
      <c r="X14" s="416">
        <f t="shared" si="10"/>
        <v>0</v>
      </c>
      <c r="Y14" s="416">
        <f t="shared" si="11"/>
        <v>0</v>
      </c>
      <c r="Z14" s="416">
        <f t="shared" si="12"/>
        <v>0</v>
      </c>
      <c r="AA14" s="416">
        <f t="shared" si="13"/>
        <v>0</v>
      </c>
      <c r="AB14" s="416">
        <f t="shared" si="14"/>
        <v>0</v>
      </c>
      <c r="AC14" s="416">
        <f t="shared" si="15"/>
        <v>0</v>
      </c>
      <c r="AD14" s="416">
        <f t="shared" si="16"/>
        <v>0</v>
      </c>
      <c r="AE14" s="416">
        <f t="shared" si="17"/>
        <v>0</v>
      </c>
      <c r="AF14" s="416">
        <f t="shared" si="18"/>
        <v>0</v>
      </c>
      <c r="AG14" s="401">
        <f t="shared" si="19"/>
        <v>0</v>
      </c>
      <c r="AH14" s="229" t="e">
        <f>IF(E6=BY6,AW15,AV15)</f>
        <v>#N/A</v>
      </c>
      <c r="AI14" s="446">
        <f>U14*U8</f>
        <v>0</v>
      </c>
      <c r="AJ14" s="446">
        <f t="shared" ref="AJ14:AT14" si="21">V14*V8</f>
        <v>0</v>
      </c>
      <c r="AK14" s="446">
        <f t="shared" si="21"/>
        <v>0</v>
      </c>
      <c r="AL14" s="446">
        <f t="shared" si="21"/>
        <v>0</v>
      </c>
      <c r="AM14" s="446">
        <f t="shared" si="21"/>
        <v>0</v>
      </c>
      <c r="AN14" s="446">
        <f t="shared" si="21"/>
        <v>0</v>
      </c>
      <c r="AO14" s="446">
        <f t="shared" si="21"/>
        <v>0</v>
      </c>
      <c r="AP14" s="446">
        <f t="shared" si="21"/>
        <v>0</v>
      </c>
      <c r="AQ14" s="446">
        <f t="shared" si="21"/>
        <v>0</v>
      </c>
      <c r="AR14" s="446">
        <f t="shared" si="21"/>
        <v>0</v>
      </c>
      <c r="AS14" s="446">
        <f t="shared" si="21"/>
        <v>0</v>
      </c>
      <c r="AT14" s="446">
        <f t="shared" si="21"/>
        <v>0</v>
      </c>
      <c r="AU14" s="446">
        <f t="shared" si="5"/>
        <v>0</v>
      </c>
      <c r="AV14" s="188" t="s">
        <v>259</v>
      </c>
      <c r="AW14" s="189" t="s">
        <v>260</v>
      </c>
      <c r="AX14" s="364">
        <v>0.47899999999999998</v>
      </c>
      <c r="AY14" s="3">
        <f>AX14*L14*M14/1000</f>
        <v>0</v>
      </c>
      <c r="AZ14" s="190">
        <f>IF(AND(J14=BY7,BL14&gt;0,BL14&lt;=1000),1,0)</f>
        <v>0</v>
      </c>
      <c r="BA14" s="143"/>
      <c r="BB14" s="191">
        <f>IF(AND(J14=BY6,BO14&gt;0,BO14&lt;=1800),1,0)</f>
        <v>0</v>
      </c>
      <c r="BC14" s="190">
        <f>IF(AND(J14=BY7,BL14&gt;1000,BL14&lt;=2000),1,0)</f>
        <v>0</v>
      </c>
      <c r="BD14" s="143"/>
      <c r="BE14" s="191">
        <f>IF(AND(J14=BY6,BO14&gt;1800,BO14&lt;=2700),1,0)</f>
        <v>0</v>
      </c>
      <c r="BF14" s="190">
        <f>IF(AND(J14=BY7,BL14&gt;2000,BL14&lt;=3000),1,0)</f>
        <v>0</v>
      </c>
      <c r="BG14" s="191">
        <f>IF(AND(J14=BY6,BO14&gt;2700,BO14&lt;=3600),1,0)</f>
        <v>0</v>
      </c>
      <c r="BH14" s="143"/>
      <c r="BI14" s="190">
        <f>IF(AND(J14=BY7,BL14&gt;3000,BL14&lt;=4000),1,0)</f>
        <v>0</v>
      </c>
      <c r="BJ14" s="190">
        <f>IF(AND(J14=BY7,BL14&gt;4000,BL14&lt;=4950),BM14+1,BM14)</f>
        <v>0</v>
      </c>
      <c r="BK14" s="191">
        <f>IF(AND(J14=BY6,BO14&gt;3600,BO14&lt;=5350),BP14+1,BP14)</f>
        <v>0</v>
      </c>
      <c r="BL14" s="185">
        <f>IF(E5&lt;&gt;0,N14-INT(BC5/L14)*L14*BM14,0)</f>
        <v>0</v>
      </c>
      <c r="BM14" s="141">
        <f>IF(E5&lt;&gt;0,INT(M14/INT(BC5/L14)),0)</f>
        <v>0</v>
      </c>
      <c r="BN14" s="141"/>
      <c r="BO14" s="141">
        <f>IF(E5&lt;&gt;0,N14-INT(BC7/L14)*L14*BP14,0)</f>
        <v>0</v>
      </c>
      <c r="BP14" s="188">
        <f>IF(AND(E6=BY6,E5&lt;&gt;0),INT(M14/INT(BC7/L14)),0)</f>
        <v>0</v>
      </c>
      <c r="BQ14" s="188"/>
      <c r="BR14" s="188"/>
      <c r="BS14" s="144"/>
      <c r="BT14" s="144" t="e">
        <f t="array" ref="BT14">INDEX(Цены!J:J,MATCH(J14&amp;$E$7,Цены!C:C&amp;Цены!G:G,0))</f>
        <v>#N/A</v>
      </c>
      <c r="BU14" s="5"/>
      <c r="BV14" s="5"/>
      <c r="BW14" s="5"/>
      <c r="BX14" s="5"/>
      <c r="BY14" s="5"/>
    </row>
    <row r="15" spans="2:83" ht="25.05" customHeight="1" thickBot="1" x14ac:dyDescent="0.4">
      <c r="B15" s="66"/>
      <c r="C15" s="67"/>
      <c r="D15" s="67"/>
      <c r="E15" s="67"/>
      <c r="F15" s="67"/>
      <c r="G15" s="67"/>
      <c r="H15" s="68"/>
      <c r="I15" s="76"/>
      <c r="J15" s="493" t="s">
        <v>542</v>
      </c>
      <c r="K15" s="238" t="s">
        <v>543</v>
      </c>
      <c r="L15" s="482">
        <f>K4</f>
        <v>2518</v>
      </c>
      <c r="M15" s="494">
        <f>M9</f>
        <v>2</v>
      </c>
      <c r="N15" s="482"/>
      <c r="O15" s="486">
        <f>O9</f>
        <v>1</v>
      </c>
      <c r="P15" s="269"/>
      <c r="Q15" s="269"/>
      <c r="R15" s="260">
        <f>O15*BT15</f>
        <v>1015.61</v>
      </c>
      <c r="S15" s="255"/>
      <c r="T15" s="420" t="str">
        <f>J15</f>
        <v>Накладка декоративная профиля</v>
      </c>
      <c r="U15" s="416">
        <f t="shared" si="7"/>
        <v>0</v>
      </c>
      <c r="V15" s="416">
        <f t="shared" si="8"/>
        <v>0</v>
      </c>
      <c r="W15" s="416">
        <f t="shared" si="9"/>
        <v>0</v>
      </c>
      <c r="X15" s="416">
        <f t="shared" si="10"/>
        <v>0</v>
      </c>
      <c r="Y15" s="416">
        <f t="shared" si="11"/>
        <v>0</v>
      </c>
      <c r="Z15" s="416">
        <f t="shared" si="12"/>
        <v>0</v>
      </c>
      <c r="AA15" s="416">
        <f t="shared" si="13"/>
        <v>0</v>
      </c>
      <c r="AB15" s="416">
        <f t="shared" si="14"/>
        <v>0</v>
      </c>
      <c r="AC15" s="416">
        <f t="shared" si="15"/>
        <v>0</v>
      </c>
      <c r="AD15" s="416">
        <f t="shared" si="16"/>
        <v>0</v>
      </c>
      <c r="AE15" s="416">
        <f t="shared" si="17"/>
        <v>0</v>
      </c>
      <c r="AF15" s="416">
        <f t="shared" si="18"/>
        <v>0</v>
      </c>
      <c r="AG15" s="401">
        <f t="shared" si="19"/>
        <v>0</v>
      </c>
      <c r="AH15" s="240">
        <f>Z15*BT15*0.5+AF15*BT15</f>
        <v>0</v>
      </c>
      <c r="AI15" s="446">
        <f>U15*U8</f>
        <v>0</v>
      </c>
      <c r="AJ15" s="446">
        <f t="shared" ref="AJ15:AT15" si="22">V15*V8</f>
        <v>0</v>
      </c>
      <c r="AK15" s="446">
        <f t="shared" si="22"/>
        <v>0</v>
      </c>
      <c r="AL15" s="446">
        <f t="shared" si="22"/>
        <v>0</v>
      </c>
      <c r="AM15" s="446">
        <f t="shared" si="22"/>
        <v>0</v>
      </c>
      <c r="AN15" s="446">
        <f t="shared" si="22"/>
        <v>0</v>
      </c>
      <c r="AO15" s="446">
        <f t="shared" si="22"/>
        <v>0</v>
      </c>
      <c r="AP15" s="446">
        <f t="shared" si="22"/>
        <v>0</v>
      </c>
      <c r="AQ15" s="446">
        <f t="shared" si="22"/>
        <v>0</v>
      </c>
      <c r="AR15" s="446">
        <f t="shared" si="22"/>
        <v>0</v>
      </c>
      <c r="AS15" s="446">
        <f t="shared" si="22"/>
        <v>0</v>
      </c>
      <c r="AT15" s="446">
        <f t="shared" si="22"/>
        <v>0</v>
      </c>
      <c r="AU15" s="446">
        <f t="shared" si="5"/>
        <v>0</v>
      </c>
      <c r="AV15" s="256" t="e">
        <f>(U14*0.2+V14*0.25+X14*0.4+Y14*0.5+AA14*0.6+AC14*0.75+AD14*0.8+AE14)*BT14</f>
        <v>#N/A</v>
      </c>
      <c r="AW15" s="256" t="e">
        <f>(W14*0.34+Z14*0.5+AB14*0.67+AF14)*BT14</f>
        <v>#N/A</v>
      </c>
      <c r="AX15" s="364">
        <v>0.216</v>
      </c>
      <c r="AY15" s="3">
        <f>AX15*L15*M15/1000</f>
        <v>1.0877760000000001</v>
      </c>
      <c r="AZ15" s="192"/>
      <c r="BA15" s="192"/>
      <c r="BB15" s="192"/>
      <c r="BC15" s="192"/>
      <c r="BD15" s="192"/>
      <c r="BE15" s="141">
        <f>IF(AND(BO15&gt;0,BO15&lt;=2700),1,0)</f>
        <v>0</v>
      </c>
      <c r="BF15" s="192"/>
      <c r="BG15" s="192"/>
      <c r="BH15" s="192"/>
      <c r="BI15" s="192"/>
      <c r="BJ15" s="192"/>
      <c r="BK15" s="141">
        <f>IF(AND(BO15&gt;2700,BO15&lt;=5350),BP15+1,BP15)</f>
        <v>0</v>
      </c>
      <c r="BL15" s="185"/>
      <c r="BM15" s="141"/>
      <c r="BN15" s="185"/>
      <c r="BO15" s="185">
        <f>N15-BC7*BM15</f>
        <v>0</v>
      </c>
      <c r="BP15" s="185">
        <f>INT(N15/BC7)</f>
        <v>0</v>
      </c>
      <c r="BQ15" s="185"/>
      <c r="BR15" s="185"/>
      <c r="BS15" s="5"/>
      <c r="BT15" s="144">
        <f>Цены!J87</f>
        <v>1015.61</v>
      </c>
      <c r="BU15" s="5"/>
      <c r="BV15" s="116" t="s">
        <v>90</v>
      </c>
      <c r="BW15" s="5"/>
      <c r="BX15" s="5"/>
      <c r="BY15" s="5"/>
    </row>
    <row r="16" spans="2:83" ht="25.05" customHeight="1" thickBot="1" x14ac:dyDescent="0.4">
      <c r="B16" s="66"/>
      <c r="C16" s="67"/>
      <c r="D16" s="67"/>
      <c r="E16" s="67"/>
      <c r="F16" s="67"/>
      <c r="G16" s="67"/>
      <c r="H16" s="68"/>
      <c r="I16" s="76"/>
      <c r="J16" s="493" t="s">
        <v>544</v>
      </c>
      <c r="K16" s="238" t="s">
        <v>545</v>
      </c>
      <c r="L16" s="482">
        <f>IF(E6&gt;0,L12,0)</f>
        <v>0</v>
      </c>
      <c r="M16" s="494">
        <f>E6*E9*2</f>
        <v>0</v>
      </c>
      <c r="N16" s="482">
        <f>L16*M16</f>
        <v>0</v>
      </c>
      <c r="O16" s="486">
        <f>BM16+IF(BL16&gt;0,1,0)</f>
        <v>0</v>
      </c>
      <c r="P16" s="271"/>
      <c r="Q16" s="271"/>
      <c r="R16" s="134" t="e">
        <f>SUM(R9:R15)</f>
        <v>#N/A</v>
      </c>
      <c r="S16" s="274"/>
      <c r="T16" s="361"/>
      <c r="U16" s="550" t="s">
        <v>103</v>
      </c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1"/>
      <c r="AH16" s="134" t="e">
        <f>SUM(AH9:AH15)</f>
        <v>#N/A</v>
      </c>
      <c r="AI16" s="447"/>
      <c r="AJ16" s="447"/>
      <c r="AK16" s="447"/>
      <c r="AL16" s="447"/>
      <c r="AM16" s="447"/>
      <c r="AN16" s="447"/>
      <c r="AO16" s="447"/>
      <c r="AP16" s="447"/>
      <c r="AQ16" s="447"/>
      <c r="AR16" s="447"/>
      <c r="AS16" s="447"/>
      <c r="AT16" s="447"/>
      <c r="AU16" s="447"/>
      <c r="AV16" s="436"/>
      <c r="AW16" s="447"/>
      <c r="AX16" s="364">
        <v>0.16600000000000001</v>
      </c>
      <c r="AY16" s="3">
        <f>AX16*L16*M16/1000</f>
        <v>0</v>
      </c>
      <c r="AZ16" s="5"/>
      <c r="BA16" s="5"/>
      <c r="BB16" s="5"/>
      <c r="BC16" s="5"/>
      <c r="BD16" s="5"/>
      <c r="BE16" s="241" t="s">
        <v>424</v>
      </c>
      <c r="BF16" s="5"/>
      <c r="BG16" s="5"/>
      <c r="BH16" s="5"/>
      <c r="BI16" s="5"/>
      <c r="BJ16" s="5"/>
      <c r="BK16" s="5"/>
      <c r="BL16" s="5">
        <f>IF(E6&lt;&gt;0,N16-INT(BC5/L16)*L16*BM16,0)</f>
        <v>0</v>
      </c>
      <c r="BM16" s="5">
        <f>IF(E6&lt;&gt;0,INT(M16/INT(BC5/L16)),0)</f>
        <v>0</v>
      </c>
      <c r="BN16" s="5"/>
      <c r="BO16" s="5"/>
      <c r="BP16" s="5"/>
      <c r="BQ16" s="5"/>
      <c r="BR16" s="5"/>
      <c r="BS16" s="5"/>
      <c r="BT16" s="5"/>
      <c r="BU16" s="5"/>
      <c r="BV16" s="116" t="s">
        <v>92</v>
      </c>
      <c r="BW16" s="5"/>
      <c r="BX16" s="5"/>
      <c r="BY16" s="5"/>
    </row>
    <row r="17" spans="2:84" ht="25.05" customHeight="1" thickBot="1" x14ac:dyDescent="0.35">
      <c r="B17" s="69" t="s">
        <v>108</v>
      </c>
      <c r="C17" s="489" t="s">
        <v>109</v>
      </c>
      <c r="D17" s="70" t="s">
        <v>78</v>
      </c>
      <c r="E17" s="489" t="s">
        <v>110</v>
      </c>
      <c r="F17" s="489" t="s">
        <v>111</v>
      </c>
      <c r="G17" s="489" t="s">
        <v>127</v>
      </c>
      <c r="H17" s="71" t="s">
        <v>128</v>
      </c>
      <c r="J17" s="512" t="s">
        <v>590</v>
      </c>
      <c r="K17" s="238" t="s">
        <v>589</v>
      </c>
      <c r="L17" s="502">
        <f>IF(E8=BV20,K5-30,0)</f>
        <v>0</v>
      </c>
      <c r="M17" s="513">
        <f xml:space="preserve"> IF(E8=BV20,E9,0)</f>
        <v>0</v>
      </c>
      <c r="N17" s="502">
        <f>L17*M17</f>
        <v>0</v>
      </c>
      <c r="O17" s="506">
        <f>BM17+IF(BL17&gt;0,1,0)</f>
        <v>0</v>
      </c>
      <c r="S17" s="278"/>
      <c r="AI17" s="436"/>
      <c r="AJ17" s="436"/>
      <c r="AK17" s="436"/>
      <c r="AL17" s="436"/>
      <c r="AM17" s="436"/>
      <c r="AN17" s="436"/>
      <c r="AO17" s="436"/>
      <c r="AP17" s="436"/>
      <c r="AQ17" s="436"/>
      <c r="AR17" s="436"/>
      <c r="AS17" s="436"/>
      <c r="AT17" s="436"/>
      <c r="AU17" s="436"/>
      <c r="AV17" s="436"/>
      <c r="AW17" s="436"/>
      <c r="BL17" s="5">
        <f>IF(E8=BV20,N17-INT(BC5/L17)*L17*BM17,0)</f>
        <v>0</v>
      </c>
      <c r="BM17" s="5">
        <f>IF(E8=BV20,INT(M17/INT(BC5/L17)),0)</f>
        <v>0</v>
      </c>
      <c r="BU17" s="5"/>
      <c r="BV17" s="117" t="s">
        <v>93</v>
      </c>
      <c r="BW17" s="5"/>
      <c r="BX17" s="5"/>
      <c r="BY17" s="5"/>
      <c r="CF17" s="1" t="b">
        <v>1</v>
      </c>
    </row>
    <row r="18" spans="2:84" ht="25.05" customHeight="1" thickBot="1" x14ac:dyDescent="0.35">
      <c r="B18" s="72" t="s">
        <v>112</v>
      </c>
      <c r="C18" s="15" t="s">
        <v>12</v>
      </c>
      <c r="D18" s="95">
        <v>0</v>
      </c>
      <c r="E18" s="16">
        <f>K4-IF(E22=0,0,IF(C22=BV10,E22,IF(C22=BV11,E22+2,E22+3)))-IF(E21=0,0,IF(C21=BV10,E21,IF(C21=BV11,E21+2,E21+3)))-IF(E20=0,0,IF(C20=BV10,E20,IF(C20=BV11,E20+2,E20+3)))-IF(E19=0,0,IF(C19=BV10,E19,IF(C19=BV11,E19+2,E19+3)))-33-IF(C18=BV11,2,IF(C18=BV12,3,0))-E5*CA6</f>
        <v>2482</v>
      </c>
      <c r="F18" s="73">
        <f>IF(C18=$BV$12,$K$5-11,IF(C18=$BV$11,$K$5-10,$K$5-8))</f>
        <v>789</v>
      </c>
      <c r="G18" s="74">
        <f>IF(E8=BV17,2,$E$9)</f>
        <v>1</v>
      </c>
      <c r="H18" s="75">
        <f>E18*F18*D18*G18/1000000</f>
        <v>0</v>
      </c>
      <c r="J18" s="491"/>
      <c r="K18" s="485"/>
      <c r="L18" s="485"/>
      <c r="M18" s="485"/>
      <c r="N18" s="485"/>
      <c r="O18" s="49"/>
      <c r="P18" s="324"/>
      <c r="Q18" s="324"/>
      <c r="R18" s="280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662" t="s">
        <v>102</v>
      </c>
      <c r="AD18" s="662"/>
      <c r="AE18" s="662"/>
      <c r="AF18" s="662"/>
      <c r="AG18" s="662"/>
      <c r="AH18" s="263" t="e">
        <f>AH16+R32+H23</f>
        <v>#N/A</v>
      </c>
      <c r="AI18" s="434"/>
      <c r="AJ18" s="434"/>
      <c r="AK18" s="434"/>
      <c r="AL18" s="434"/>
      <c r="AM18" s="434"/>
      <c r="AN18" s="434"/>
      <c r="AO18" s="434"/>
      <c r="AP18" s="434"/>
      <c r="AQ18" s="434"/>
      <c r="AR18" s="434"/>
      <c r="AS18" s="434"/>
      <c r="AT18" s="434"/>
      <c r="AU18" s="434"/>
      <c r="AV18" s="434"/>
      <c r="AW18" s="434"/>
      <c r="AX18" s="3"/>
      <c r="AY18" s="289">
        <f>SUM(AY9:AY16)/E9</f>
        <v>4.5024239999999995</v>
      </c>
      <c r="AZ18" s="141" t="s">
        <v>256</v>
      </c>
      <c r="BA18" s="141"/>
      <c r="BB18" s="141"/>
      <c r="BC18" s="185">
        <v>5350</v>
      </c>
      <c r="BD18" s="185"/>
      <c r="BE18" s="185"/>
      <c r="BF18" s="185"/>
      <c r="BG18" s="185"/>
      <c r="BH18" s="185"/>
      <c r="BI18" s="185"/>
      <c r="BJ18" s="185"/>
      <c r="BK18" s="185"/>
      <c r="BL18" s="185"/>
      <c r="BM18" s="186"/>
      <c r="BN18" s="186"/>
      <c r="BO18" s="186"/>
      <c r="BP18" s="186"/>
      <c r="BQ18" s="186"/>
      <c r="BR18" s="186"/>
      <c r="BS18" s="6"/>
      <c r="BT18" s="6"/>
      <c r="BU18" s="5"/>
      <c r="BV18" s="118" t="s">
        <v>91</v>
      </c>
      <c r="BW18" s="5"/>
      <c r="BX18" s="5"/>
      <c r="BY18" s="5"/>
      <c r="BZ18" s="301">
        <f>IF(E18&lt;&gt;0,1,0)</f>
        <v>1</v>
      </c>
      <c r="CF18" s="1"/>
    </row>
    <row r="19" spans="2:84" ht="25.05" customHeight="1" x14ac:dyDescent="0.3">
      <c r="B19" s="72" t="s">
        <v>113</v>
      </c>
      <c r="C19" s="15" t="s">
        <v>12</v>
      </c>
      <c r="D19" s="95">
        <v>0</v>
      </c>
      <c r="E19" s="17">
        <v>0</v>
      </c>
      <c r="F19" s="73">
        <f>IF(C19=$BV$12,$K$5-11,IF(C19=$BV$11,$K$5-10,$K$5-8))</f>
        <v>789</v>
      </c>
      <c r="G19" s="74">
        <f>IF(E19=0,0,IF($E$8=$BV$17,2,$E$9))</f>
        <v>0</v>
      </c>
      <c r="H19" s="75">
        <f t="shared" ref="H19:H22" si="23">E19*F19*D19*G19/1000000</f>
        <v>0</v>
      </c>
      <c r="J19" s="110"/>
      <c r="K19" s="9"/>
      <c r="L19" s="9"/>
      <c r="M19" s="5"/>
      <c r="N19" s="5"/>
      <c r="O19" s="120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452"/>
      <c r="AJ19" s="452"/>
      <c r="AK19" s="452"/>
      <c r="AL19" s="452"/>
      <c r="AM19" s="452"/>
      <c r="AN19" s="452"/>
      <c r="AO19" s="452"/>
      <c r="AP19" s="452"/>
      <c r="AQ19" s="452"/>
      <c r="AR19" s="452"/>
      <c r="AS19" s="452"/>
      <c r="AT19" s="452"/>
      <c r="AU19" s="452"/>
      <c r="AV19" s="452"/>
      <c r="AW19" s="452"/>
      <c r="AX19" s="6"/>
      <c r="AZ19" s="141" t="s">
        <v>257</v>
      </c>
      <c r="BA19" s="141"/>
      <c r="BB19" s="141"/>
      <c r="BC19" s="141">
        <v>5350</v>
      </c>
      <c r="BD19" s="185"/>
      <c r="BE19" s="141"/>
      <c r="BF19" s="141"/>
      <c r="BG19" s="141"/>
      <c r="BH19" s="141"/>
      <c r="BI19" s="141"/>
      <c r="BJ19" s="141"/>
      <c r="BK19" s="141"/>
      <c r="BL19" s="141"/>
      <c r="BM19" s="186"/>
      <c r="BN19" s="186"/>
      <c r="BO19" s="186"/>
      <c r="BP19" s="186"/>
      <c r="BQ19" s="186"/>
      <c r="BR19" s="186"/>
      <c r="BS19" s="6"/>
      <c r="BT19" s="6"/>
      <c r="BU19" s="5"/>
      <c r="BV19" s="5" t="s">
        <v>588</v>
      </c>
      <c r="BW19" s="5"/>
      <c r="BX19" s="5"/>
      <c r="BY19" s="5"/>
      <c r="BZ19" s="301">
        <f>IF(E19&lt;&gt;0,1,0)</f>
        <v>0</v>
      </c>
      <c r="CF19" s="1" t="b">
        <v>1</v>
      </c>
    </row>
    <row r="20" spans="2:84" ht="25.05" customHeight="1" x14ac:dyDescent="0.3">
      <c r="B20" s="72" t="s">
        <v>114</v>
      </c>
      <c r="C20" s="15" t="s">
        <v>12</v>
      </c>
      <c r="D20" s="95">
        <v>0</v>
      </c>
      <c r="E20" s="17">
        <v>0</v>
      </c>
      <c r="F20" s="73">
        <f>IF(C20=$BV$12,$K$5-11,IF(C20=$BV$11,$K$5-10,$K$5-8))</f>
        <v>789</v>
      </c>
      <c r="G20" s="74">
        <f>IF(E20=0,0,IF($E$8=$BV$17,2,$E$9))</f>
        <v>0</v>
      </c>
      <c r="H20" s="75">
        <f t="shared" si="23"/>
        <v>0</v>
      </c>
      <c r="J20" s="121"/>
      <c r="K20" s="19"/>
      <c r="L20" s="18"/>
      <c r="M20" s="5"/>
      <c r="N20" s="5"/>
      <c r="O20" s="111"/>
      <c r="P20" s="18"/>
      <c r="Q20" s="18"/>
      <c r="R20" s="281"/>
      <c r="S20" s="18"/>
      <c r="T20" s="194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34"/>
      <c r="AJ20" s="434"/>
      <c r="AK20" s="434"/>
      <c r="AL20" s="434"/>
      <c r="AM20" s="434"/>
      <c r="AN20" s="434"/>
      <c r="AO20" s="434"/>
      <c r="AP20" s="434"/>
      <c r="AQ20" s="434"/>
      <c r="AR20" s="434"/>
      <c r="AS20" s="434"/>
      <c r="AT20" s="434"/>
      <c r="AU20" s="434"/>
      <c r="AV20" s="434"/>
      <c r="AW20" s="434"/>
      <c r="AX20" s="5"/>
      <c r="AY20" s="5"/>
      <c r="AZ20" s="185" t="s">
        <v>258</v>
      </c>
      <c r="BA20" s="185"/>
      <c r="BB20" s="185"/>
      <c r="BC20" s="141">
        <v>5350</v>
      </c>
      <c r="BD20" s="185"/>
      <c r="BE20" s="141"/>
      <c r="BF20" s="141"/>
      <c r="BG20" s="141"/>
      <c r="BH20" s="141"/>
      <c r="BI20" s="141"/>
      <c r="BJ20" s="141"/>
      <c r="BK20" s="141"/>
      <c r="BL20" s="141"/>
      <c r="BM20" s="186"/>
      <c r="BN20" s="186"/>
      <c r="BO20" s="186"/>
      <c r="BP20" s="186"/>
      <c r="BQ20" s="186"/>
      <c r="BR20" s="186"/>
      <c r="BS20" s="6"/>
      <c r="BT20" s="6"/>
      <c r="BU20" s="5"/>
      <c r="BV20" s="54" t="s">
        <v>591</v>
      </c>
      <c r="BW20" s="5"/>
      <c r="BX20" s="5"/>
      <c r="BY20" s="5"/>
      <c r="BZ20" s="301">
        <f>IF(E20&lt;&gt;0,1,0)</f>
        <v>0</v>
      </c>
    </row>
    <row r="21" spans="2:84" ht="25.05" customHeight="1" thickBot="1" x14ac:dyDescent="0.35">
      <c r="B21" s="72" t="s">
        <v>115</v>
      </c>
      <c r="C21" s="15" t="s">
        <v>12</v>
      </c>
      <c r="D21" s="95">
        <v>0</v>
      </c>
      <c r="E21" s="17">
        <v>0</v>
      </c>
      <c r="F21" s="73">
        <f>IF(C21=$BV$12,$K$5-11,IF(C21=$BV$11,$K$5-10,$K$5-8))</f>
        <v>789</v>
      </c>
      <c r="G21" s="74">
        <f>IF(E21=0,0,IF($E$8=$BV$17,2,$E$9))</f>
        <v>0</v>
      </c>
      <c r="H21" s="75">
        <f t="shared" si="23"/>
        <v>0</v>
      </c>
      <c r="J21" s="640" t="s">
        <v>180</v>
      </c>
      <c r="K21" s="594"/>
      <c r="L21" s="594"/>
      <c r="M21" s="485"/>
      <c r="N21" s="5"/>
      <c r="O21" s="111"/>
      <c r="P21" s="18"/>
      <c r="Q21" s="18"/>
      <c r="R21" s="281"/>
      <c r="S21" s="18"/>
      <c r="T21" s="140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9"/>
      <c r="AH21" s="303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5"/>
      <c r="AY21" s="5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U21" s="5"/>
      <c r="BW21" s="5"/>
      <c r="BX21" s="5"/>
      <c r="BY21" s="5"/>
      <c r="BZ21" s="301">
        <f>IF(E21&lt;&gt;0,1,0)</f>
        <v>0</v>
      </c>
      <c r="CE21" s="1" t="s">
        <v>418</v>
      </c>
    </row>
    <row r="22" spans="2:84" ht="25.05" customHeight="1" thickBot="1" x14ac:dyDescent="0.35">
      <c r="B22" s="80" t="s">
        <v>116</v>
      </c>
      <c r="C22" s="15" t="s">
        <v>12</v>
      </c>
      <c r="D22" s="95">
        <v>0</v>
      </c>
      <c r="E22" s="17">
        <v>0</v>
      </c>
      <c r="F22" s="73">
        <f>IF(C22=$BV$12,$K$5-11,IF(C22=$BV$11,$K$5-10,$K$5-8))</f>
        <v>789</v>
      </c>
      <c r="G22" s="74">
        <f>IF(E22=0,0,IF($E$8=$BV$17,2,$E$9))</f>
        <v>0</v>
      </c>
      <c r="H22" s="75">
        <f t="shared" si="23"/>
        <v>0</v>
      </c>
      <c r="J22" s="590" t="s">
        <v>0</v>
      </c>
      <c r="K22" s="591"/>
      <c r="L22" s="591"/>
      <c r="M22" s="591"/>
      <c r="N22" s="484" t="s">
        <v>1</v>
      </c>
      <c r="O22" s="239" t="s">
        <v>8</v>
      </c>
      <c r="P22" s="140"/>
      <c r="Q22" s="140"/>
      <c r="R22" s="261" t="s">
        <v>24</v>
      </c>
      <c r="S22" s="140"/>
      <c r="T22" s="311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446"/>
      <c r="AJ22" s="446"/>
      <c r="AK22" s="446"/>
      <c r="AL22" s="446"/>
      <c r="AM22" s="446"/>
      <c r="AN22" s="446"/>
      <c r="AO22" s="446"/>
      <c r="AP22" s="446"/>
      <c r="AQ22" s="446"/>
      <c r="AR22" s="446"/>
      <c r="AS22" s="446"/>
      <c r="AT22" s="446"/>
      <c r="AU22" s="446"/>
      <c r="AV22" s="446"/>
      <c r="AW22" s="446"/>
      <c r="AX22" s="5"/>
      <c r="AY22" s="5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315">
        <f>BK9</f>
        <v>1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U22" s="5"/>
      <c r="BW22" s="5"/>
      <c r="BX22" s="5"/>
      <c r="BY22" s="5"/>
      <c r="BZ22" s="301">
        <f>IF(E22&lt;&gt;0,1,0)</f>
        <v>0</v>
      </c>
      <c r="CE22" s="1" t="s">
        <v>423</v>
      </c>
    </row>
    <row r="23" spans="2:84" ht="25.05" customHeight="1" thickBot="1" x14ac:dyDescent="0.35">
      <c r="B23" s="66"/>
      <c r="C23" s="67"/>
      <c r="D23" s="67"/>
      <c r="E23" s="572" t="s">
        <v>79</v>
      </c>
      <c r="F23" s="572"/>
      <c r="G23" s="573"/>
      <c r="H23" s="323">
        <f>SUM(H18:H22)</f>
        <v>0</v>
      </c>
      <c r="J23" s="587" t="s">
        <v>579</v>
      </c>
      <c r="K23" s="588"/>
      <c r="L23" s="588"/>
      <c r="M23" s="588"/>
      <c r="N23" s="236" t="s">
        <v>580</v>
      </c>
      <c r="O23" s="230">
        <f>E9</f>
        <v>1</v>
      </c>
      <c r="P23" s="250"/>
      <c r="Q23" s="250"/>
      <c r="R23" s="287">
        <f>O23*Цены!J133</f>
        <v>3471.2</v>
      </c>
      <c r="S23" s="273"/>
      <c r="T23" s="431"/>
      <c r="U23" s="453"/>
      <c r="V23" s="453"/>
      <c r="W23" s="453"/>
      <c r="X23" s="453"/>
      <c r="Y23" s="453"/>
      <c r="Z23" s="453"/>
      <c r="AA23" s="453"/>
      <c r="AB23" s="453"/>
      <c r="AC23" s="453"/>
      <c r="AD23" s="453"/>
      <c r="AE23" s="453"/>
      <c r="AF23" s="453"/>
      <c r="AG23" s="454"/>
      <c r="AH23" s="431"/>
      <c r="AI23" s="446"/>
      <c r="AJ23" s="446"/>
      <c r="AK23" s="446"/>
      <c r="AL23" s="446"/>
      <c r="AM23" s="446"/>
      <c r="AN23" s="446"/>
      <c r="AO23" s="446"/>
      <c r="AP23" s="446"/>
      <c r="AQ23" s="446"/>
      <c r="AR23" s="446"/>
      <c r="AS23" s="446"/>
      <c r="AT23" s="446"/>
      <c r="AU23" s="446"/>
      <c r="AV23" s="446"/>
      <c r="AW23" s="446"/>
      <c r="AX23" s="5"/>
      <c r="AZ23" s="197"/>
      <c r="BA23" s="197"/>
      <c r="BB23" s="197"/>
      <c r="BC23" s="197"/>
      <c r="BD23" s="198">
        <f>IF(AND(BL23&gt;0,BL23&lt;=2500),1,0)</f>
        <v>1</v>
      </c>
      <c r="BE23" s="197"/>
      <c r="BF23" s="197"/>
      <c r="BG23" s="197"/>
      <c r="BH23" s="197"/>
      <c r="BI23" s="197"/>
      <c r="BJ23" s="198">
        <f>IF(AND(BL23&gt;2500,BL23&lt;=4950),BM23+1,BM23)</f>
        <v>0</v>
      </c>
      <c r="BK23" s="197"/>
      <c r="BL23" s="199">
        <f>BL10</f>
        <v>800</v>
      </c>
      <c r="BM23" s="199">
        <f>BM10</f>
        <v>0</v>
      </c>
      <c r="BN23" s="141"/>
      <c r="BO23" s="141"/>
      <c r="BP23" s="141"/>
      <c r="BQ23" s="141"/>
      <c r="BR23" s="141"/>
      <c r="BS23" s="3"/>
      <c r="BT23" s="3"/>
      <c r="BU23" s="5"/>
      <c r="BW23" s="5"/>
      <c r="BX23" s="5"/>
      <c r="BY23" s="5"/>
      <c r="CE23" s="1" t="s">
        <v>420</v>
      </c>
    </row>
    <row r="24" spans="2:84" ht="25.05" customHeight="1" x14ac:dyDescent="0.3">
      <c r="B24" s="66"/>
      <c r="C24" s="685" t="str">
        <f>IF((SUM(BZ18:BZ22)/C14)&lt;&gt;1,BV45,BV46)</f>
        <v>Верно внесены высоты вставок</v>
      </c>
      <c r="D24" s="686"/>
      <c r="E24" s="490">
        <f>IF(C24=BV46,1,0)</f>
        <v>1</v>
      </c>
      <c r="F24" s="490"/>
      <c r="G24" s="490"/>
      <c r="H24" s="68"/>
      <c r="J24" s="561" t="s">
        <v>572</v>
      </c>
      <c r="K24" s="562"/>
      <c r="L24" s="562"/>
      <c r="M24" s="562"/>
      <c r="N24" s="206" t="s">
        <v>573</v>
      </c>
      <c r="O24" s="284">
        <f>E9</f>
        <v>1</v>
      </c>
      <c r="P24" s="250"/>
      <c r="Q24" s="250"/>
      <c r="R24" s="287">
        <f>O25*Цены!J186</f>
        <v>83.2</v>
      </c>
      <c r="S24" s="273"/>
      <c r="T24" s="431"/>
      <c r="U24" s="453"/>
      <c r="V24" s="453"/>
      <c r="W24" s="453"/>
      <c r="X24" s="453"/>
      <c r="Y24" s="453"/>
      <c r="Z24" s="453"/>
      <c r="AA24" s="453"/>
      <c r="AB24" s="453"/>
      <c r="AC24" s="453"/>
      <c r="AD24" s="453"/>
      <c r="AE24" s="453"/>
      <c r="AF24" s="453"/>
      <c r="AG24" s="454"/>
      <c r="AH24" s="431"/>
      <c r="AI24" s="446"/>
      <c r="AJ24" s="446"/>
      <c r="AK24" s="446"/>
      <c r="AL24" s="446"/>
      <c r="AM24" s="446"/>
      <c r="AN24" s="446"/>
      <c r="AO24" s="446"/>
      <c r="AP24" s="446"/>
      <c r="AQ24" s="446"/>
      <c r="AR24" s="446"/>
      <c r="AS24" s="446"/>
      <c r="AT24" s="446"/>
      <c r="AU24" s="446"/>
      <c r="AV24" s="446"/>
      <c r="AW24" s="446"/>
      <c r="AX24" s="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99"/>
      <c r="BM24" s="199"/>
      <c r="BN24" s="196"/>
      <c r="BO24" s="141"/>
      <c r="BP24" s="188"/>
      <c r="BQ24" s="188"/>
      <c r="BR24" s="188"/>
      <c r="BS24" s="144"/>
      <c r="BT24" s="144"/>
      <c r="BU24" s="5"/>
      <c r="BV24" s="1" t="s">
        <v>80</v>
      </c>
      <c r="BW24" s="5"/>
      <c r="BX24" s="5"/>
      <c r="BY24" s="5"/>
      <c r="CE24" s="1" t="s">
        <v>421</v>
      </c>
    </row>
    <row r="25" spans="2:84" ht="25.05" customHeight="1" x14ac:dyDescent="0.3">
      <c r="B25" s="66"/>
      <c r="C25" s="67"/>
      <c r="D25" s="67"/>
      <c r="E25" s="67"/>
      <c r="F25" s="67"/>
      <c r="G25" s="67"/>
      <c r="H25" s="68"/>
      <c r="J25" s="561" t="s">
        <v>570</v>
      </c>
      <c r="K25" s="562"/>
      <c r="L25" s="562"/>
      <c r="M25" s="562"/>
      <c r="N25" s="236" t="s">
        <v>569</v>
      </c>
      <c r="O25" s="231">
        <f>M12*4+M13*4+M14*4</f>
        <v>8</v>
      </c>
      <c r="P25" s="252"/>
      <c r="Q25" s="252"/>
      <c r="R25" s="287">
        <f>O26*Цены!J179</f>
        <v>0</v>
      </c>
      <c r="S25" s="273"/>
      <c r="T25" s="311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8"/>
      <c r="AH25" s="426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  <c r="AV25" s="436"/>
      <c r="AW25" s="436"/>
      <c r="AX25" s="5"/>
      <c r="AZ25" s="200"/>
      <c r="BA25" s="200"/>
      <c r="BB25" s="200"/>
      <c r="BC25" s="200"/>
      <c r="BD25" s="201">
        <f>IF(AND(BL25&gt;0,BL25&lt;=2500),1,0)</f>
        <v>1</v>
      </c>
      <c r="BE25" s="200"/>
      <c r="BF25" s="200"/>
      <c r="BG25" s="200"/>
      <c r="BH25" s="200"/>
      <c r="BI25" s="200"/>
      <c r="BJ25" s="201">
        <f>IF(AND(BL25&gt;2500,BL25&lt;=5025),BM25+1,BM25)</f>
        <v>0</v>
      </c>
      <c r="BK25" s="200"/>
      <c r="BL25" s="199">
        <f t="shared" ref="BL25:BM25" si="24">BL12</f>
        <v>1600</v>
      </c>
      <c r="BM25" s="199">
        <f t="shared" si="24"/>
        <v>0</v>
      </c>
      <c r="BN25" s="141"/>
      <c r="BO25" s="141"/>
      <c r="BP25" s="188"/>
      <c r="BQ25" s="188"/>
      <c r="BR25" s="188"/>
      <c r="BS25" s="144"/>
      <c r="BT25" s="144"/>
      <c r="BU25" s="5"/>
      <c r="BV25" s="83" t="s">
        <v>159</v>
      </c>
      <c r="BW25" s="5"/>
      <c r="BX25" s="5"/>
      <c r="BY25" s="5"/>
      <c r="CE25" s="1" t="s">
        <v>422</v>
      </c>
    </row>
    <row r="26" spans="2:84" ht="25.05" customHeight="1" thickBot="1" x14ac:dyDescent="0.35">
      <c r="B26" s="66"/>
      <c r="C26" s="638" t="str">
        <f>IF(AND(SUM(BZ18:BZ22)/C14=1,E22=0,C14&lt;&gt;1),BV49,BV50)</f>
        <v xml:space="preserve"> </v>
      </c>
      <c r="D26" s="638"/>
      <c r="E26" s="85"/>
      <c r="F26" s="85"/>
      <c r="G26" s="5"/>
      <c r="H26" s="11"/>
      <c r="J26" s="673" t="s">
        <v>82</v>
      </c>
      <c r="K26" s="674"/>
      <c r="L26" s="674"/>
      <c r="M26" s="675"/>
      <c r="N26" s="236" t="s">
        <v>255</v>
      </c>
      <c r="O26" s="233">
        <f>ROUNDUP((IF(C18=BV11,(E18+F18)*2*G18,0)+IF(C19=BV11,(E19+F19)*2*G19,0)+IF(C20=BV11,(E20+F20)*2*G20,0)+IF(C21=BV11,(E21+F21)*2*G21,0)+IF(C22=BV11,(E22+F22)*2*G22,0))/1000,0)</f>
        <v>0</v>
      </c>
      <c r="P26" s="252"/>
      <c r="Q26" s="252"/>
      <c r="R26" s="286">
        <f>O27*Цены!J180</f>
        <v>310.31</v>
      </c>
      <c r="S26" s="274"/>
      <c r="T26" s="311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8"/>
      <c r="AH26" s="426"/>
      <c r="AI26" s="436"/>
      <c r="AJ26" s="436"/>
      <c r="AK26" s="436"/>
      <c r="AL26" s="436"/>
      <c r="AM26" s="436"/>
      <c r="AN26" s="436"/>
      <c r="AO26" s="436"/>
      <c r="AP26" s="436"/>
      <c r="AQ26" s="436"/>
      <c r="AR26" s="436"/>
      <c r="AS26" s="436"/>
      <c r="AT26" s="436"/>
      <c r="AU26" s="436"/>
      <c r="AV26" s="436"/>
      <c r="AW26" s="436"/>
      <c r="AX26" s="5"/>
      <c r="AZ26" s="143"/>
      <c r="BA26" s="141">
        <f>IF(AND(BL26&gt;0,BL26&lt;=1250),1,0)</f>
        <v>1</v>
      </c>
      <c r="BB26" s="143"/>
      <c r="BC26" s="143"/>
      <c r="BD26" s="141">
        <f>IF(AND(BL26&gt;1250,BL26&lt;=2500),1,0)</f>
        <v>0</v>
      </c>
      <c r="BE26" s="143"/>
      <c r="BF26" s="143"/>
      <c r="BG26" s="143"/>
      <c r="BH26" s="141">
        <f>IF(AND(BL26&gt;2500,BL26&lt;=3750),1,0)</f>
        <v>0</v>
      </c>
      <c r="BI26" s="143"/>
      <c r="BJ26" s="141">
        <f>IF(AND(BL26&gt;4000,BL26&lt;=4950),BM26+1,BM26)</f>
        <v>0</v>
      </c>
      <c r="BK26" s="143"/>
      <c r="BL26" s="199">
        <f t="shared" ref="BL26:BM26" si="25">BL13</f>
        <v>776</v>
      </c>
      <c r="BM26" s="199">
        <f t="shared" si="25"/>
        <v>0</v>
      </c>
      <c r="BN26" s="141"/>
      <c r="BO26" s="141"/>
      <c r="BP26" s="188"/>
      <c r="BQ26" s="188"/>
      <c r="BR26" s="189"/>
      <c r="BS26" s="152"/>
      <c r="BT26" s="152"/>
      <c r="BU26" s="5"/>
      <c r="BV26" s="83" t="s">
        <v>129</v>
      </c>
      <c r="BW26" s="5"/>
      <c r="BX26" s="5"/>
      <c r="BY26" s="5"/>
      <c r="CE26" s="1" t="s">
        <v>419</v>
      </c>
    </row>
    <row r="27" spans="2:84" ht="25.05" customHeight="1" thickBot="1" x14ac:dyDescent="0.4">
      <c r="B27" s="86"/>
      <c r="C27" s="87"/>
      <c r="D27" s="490"/>
      <c r="E27" s="490"/>
      <c r="F27" s="490"/>
      <c r="G27" s="487" t="s">
        <v>261</v>
      </c>
      <c r="H27" s="148">
        <f>ROUNDUP((AY18+AY42)*1.1,0)</f>
        <v>29</v>
      </c>
      <c r="J27" s="677" t="s">
        <v>84</v>
      </c>
      <c r="K27" s="678"/>
      <c r="L27" s="678"/>
      <c r="M27" s="679"/>
      <c r="N27" s="236" t="s">
        <v>193</v>
      </c>
      <c r="O27" s="233">
        <f>ROUNDUP((IF(AND(E5&lt;&gt;0,C18=BV12),(E18+F18+E18)*G18,IF(AND(E5=0,C18=BV12),(E18+F18)*2*G18,0))
+IF(C19=BV12,E19*2*G19,0)
+IF(C20=BV12,E20*2*G20,0)
+IF(C21=BV12,E21*2*G21,0)
+IF(C22=BV12,(E22+F22+E22)*G22,0))/1000,0)</f>
        <v>7</v>
      </c>
      <c r="P27" s="250"/>
      <c r="Q27" s="250"/>
      <c r="R27" s="287">
        <f>O28*Цены!J173</f>
        <v>0</v>
      </c>
      <c r="S27" s="273"/>
      <c r="T27" s="311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8"/>
      <c r="AH27" s="255"/>
      <c r="AI27" s="436"/>
      <c r="AJ27" s="436"/>
      <c r="AK27" s="436"/>
      <c r="AL27" s="436"/>
      <c r="AM27" s="436"/>
      <c r="AN27" s="436"/>
      <c r="AO27" s="436"/>
      <c r="AP27" s="436"/>
      <c r="AQ27" s="436"/>
      <c r="AR27" s="436"/>
      <c r="AS27" s="436"/>
      <c r="AT27" s="436"/>
      <c r="AU27" s="436"/>
      <c r="AV27" s="436"/>
      <c r="AW27" s="436"/>
      <c r="AX27" s="5"/>
      <c r="AZ27" s="143"/>
      <c r="BA27" s="190">
        <f>IF(AND(J14=BY7,BL27&gt;0,BL27&lt;=1250),1,0)</f>
        <v>0</v>
      </c>
      <c r="BB27" s="191">
        <f>IF(AND(J14=BY6,BO27&gt;0,BO27&lt;=1800),1,0)</f>
        <v>0</v>
      </c>
      <c r="BC27" s="143"/>
      <c r="BD27" s="190">
        <f>IF(AND(J14=BY7,BL27&gt;1250,BL27&lt;=2500),1,0)</f>
        <v>0</v>
      </c>
      <c r="BE27" s="191">
        <f>IF(AND(J14=BY6,BO27&gt;1800,BO27&lt;=2700),1,0)</f>
        <v>0</v>
      </c>
      <c r="BF27" s="143"/>
      <c r="BG27" s="191">
        <f>IF(AND(J14=BY6,BO27&gt;2700,BO27&lt;=3600),1,0)</f>
        <v>0</v>
      </c>
      <c r="BH27" s="190">
        <f>IF(AND(J14=BY7,BL27&gt;2500,BL27&lt;=3750),1,0)</f>
        <v>0</v>
      </c>
      <c r="BI27" s="143"/>
      <c r="BJ27" s="190">
        <f>IF(AND(J14=BY7,BL27&gt;4000,BL27&lt;=4950),BM27+1,BM27)</f>
        <v>0</v>
      </c>
      <c r="BK27" s="191">
        <f>IF(AND(J14=BY6,BO27&gt;3600,BO27&lt;=5350),BP27+1,BP27)</f>
        <v>0</v>
      </c>
      <c r="BL27" s="199">
        <f>BL14</f>
        <v>0</v>
      </c>
      <c r="BM27" s="199">
        <f>BM14</f>
        <v>0</v>
      </c>
      <c r="BN27" s="199"/>
      <c r="BO27" s="199">
        <f>BO14</f>
        <v>0</v>
      </c>
      <c r="BP27" s="199">
        <f>BP14</f>
        <v>0</v>
      </c>
      <c r="BQ27" s="188"/>
      <c r="BR27" s="188"/>
      <c r="BS27" s="144"/>
      <c r="BT27" s="144"/>
      <c r="BU27" s="5"/>
      <c r="BV27" s="1" t="s">
        <v>76</v>
      </c>
      <c r="BW27" s="5"/>
      <c r="BX27" s="5"/>
      <c r="BY27" s="5"/>
      <c r="CE27" s="1" t="s">
        <v>520</v>
      </c>
    </row>
    <row r="28" spans="2:84" ht="25.05" customHeight="1" thickBot="1" x14ac:dyDescent="0.4">
      <c r="B28" s="91"/>
      <c r="C28" s="92"/>
      <c r="D28" s="93"/>
      <c r="E28" s="93"/>
      <c r="F28" s="93"/>
      <c r="G28" s="93"/>
      <c r="H28" s="94"/>
      <c r="J28" s="680" t="s">
        <v>576</v>
      </c>
      <c r="K28" s="681"/>
      <c r="L28" s="681"/>
      <c r="M28" s="682"/>
      <c r="N28" s="445" t="s">
        <v>575</v>
      </c>
      <c r="O28" s="501">
        <f>ROUNDUP((IF(AND(E5&lt;&gt;0,C18=BV12),F18*G18,0)
+IF(C19=BV12,F19*2*G19,0)
+IF(C20=BV12,F20*2*G20,0)
+IF(C21=BV12,F21*2*G21,0)
+IF(C22=BV12,F22*G22,0))/1000,0)</f>
        <v>0</v>
      </c>
      <c r="P28" s="249"/>
      <c r="Q28" s="249"/>
      <c r="R28" s="262" t="e">
        <f>#REF!*Цены!J134</f>
        <v>#REF!</v>
      </c>
      <c r="S28" s="243"/>
      <c r="T28" s="311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8"/>
      <c r="AH28" s="274"/>
      <c r="AI28" s="446"/>
      <c r="AJ28" s="446"/>
      <c r="AK28" s="446"/>
      <c r="AL28" s="446"/>
      <c r="AM28" s="446"/>
      <c r="AN28" s="446"/>
      <c r="AO28" s="446"/>
      <c r="AP28" s="446"/>
      <c r="AQ28" s="446"/>
      <c r="AR28" s="446"/>
      <c r="AS28" s="446"/>
      <c r="AT28" s="446"/>
      <c r="AU28" s="446"/>
      <c r="AV28" s="446"/>
      <c r="AW28" s="446"/>
      <c r="AX28" s="5"/>
      <c r="AZ28" s="192"/>
      <c r="BA28" s="192"/>
      <c r="BB28" s="192"/>
      <c r="BC28" s="192"/>
      <c r="BD28" s="192"/>
      <c r="BE28" s="141">
        <f>IF(AND(BO28&gt;0,BO28&lt;=2700),1,0)</f>
        <v>0</v>
      </c>
      <c r="BF28" s="192"/>
      <c r="BG28" s="192"/>
      <c r="BH28" s="192"/>
      <c r="BI28" s="192"/>
      <c r="BJ28" s="192"/>
      <c r="BK28" s="141">
        <f>IF(AND(BO28&gt;2700,BO28&lt;=5350),BP28+1,BP28)</f>
        <v>0</v>
      </c>
      <c r="BL28" s="185"/>
      <c r="BM28" s="141"/>
      <c r="BN28" s="185"/>
      <c r="BO28" s="199">
        <f>BO15</f>
        <v>0</v>
      </c>
      <c r="BP28" s="199">
        <f>BP15</f>
        <v>0</v>
      </c>
      <c r="BQ28" s="185"/>
      <c r="BR28" s="185"/>
      <c r="BS28" s="5"/>
      <c r="BT28" s="5"/>
      <c r="BU28" s="5"/>
      <c r="BV28" s="302"/>
      <c r="BW28" s="5"/>
      <c r="BX28" s="5"/>
      <c r="BY28" s="5"/>
      <c r="CE28" s="1" t="s">
        <v>518</v>
      </c>
    </row>
    <row r="29" spans="2:84" ht="25.05" customHeight="1" x14ac:dyDescent="0.3">
      <c r="B29" s="67"/>
      <c r="C29" s="67"/>
      <c r="D29" s="67"/>
      <c r="E29" s="67"/>
      <c r="F29" s="67"/>
      <c r="G29" s="67"/>
      <c r="H29" s="5"/>
      <c r="J29" s="497"/>
      <c r="K29" s="497"/>
      <c r="L29" s="497"/>
      <c r="M29" s="497"/>
      <c r="N29" s="341"/>
      <c r="O29" s="253"/>
      <c r="P29" s="253"/>
      <c r="Q29" s="253"/>
      <c r="R29" s="262">
        <f>O29*Цены!J163</f>
        <v>0</v>
      </c>
      <c r="S29" s="243"/>
      <c r="T29" s="278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278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2:84" ht="25.05" customHeight="1" x14ac:dyDescent="0.3">
      <c r="B30" s="67"/>
      <c r="C30" s="67"/>
      <c r="D30" s="67"/>
      <c r="E30" s="67"/>
      <c r="F30" s="67"/>
      <c r="G30" s="67"/>
      <c r="H30" s="5"/>
      <c r="J30" s="497"/>
      <c r="K30" s="497"/>
      <c r="L30" s="497"/>
      <c r="M30" s="497"/>
      <c r="N30" s="341"/>
      <c r="O30" s="253"/>
      <c r="P30" s="253"/>
      <c r="Q30" s="253"/>
      <c r="R30" s="262">
        <f>O30*Цены!J182</f>
        <v>0</v>
      </c>
      <c r="S30" s="243"/>
      <c r="AI30" s="436"/>
      <c r="AJ30" s="436"/>
      <c r="AK30" s="436"/>
      <c r="AL30" s="436"/>
      <c r="AM30" s="436"/>
      <c r="AN30" s="436"/>
      <c r="AO30" s="436"/>
      <c r="AP30" s="436"/>
      <c r="AQ30" s="436"/>
      <c r="AR30" s="436"/>
      <c r="AS30" s="436"/>
      <c r="AT30" s="436"/>
      <c r="AU30" s="436"/>
      <c r="AV30" s="436"/>
      <c r="AW30" s="436"/>
      <c r="BU30" s="5"/>
      <c r="BV30" s="48">
        <v>0</v>
      </c>
      <c r="BW30" s="5"/>
      <c r="BX30" s="5"/>
      <c r="BY30" s="5"/>
    </row>
    <row r="31" spans="2:84" ht="25.05" customHeight="1" thickBot="1" x14ac:dyDescent="0.35">
      <c r="J31" s="497"/>
      <c r="K31" s="497"/>
      <c r="L31" s="497"/>
      <c r="M31" s="497"/>
      <c r="N31" s="500"/>
      <c r="O31" s="251"/>
      <c r="P31" s="251"/>
      <c r="Q31" s="251"/>
      <c r="R31" s="305">
        <f>O31*Цены!J178</f>
        <v>0</v>
      </c>
      <c r="S31" s="243"/>
      <c r="T31" s="243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5"/>
      <c r="AY31" s="5"/>
      <c r="AZ31" s="5"/>
      <c r="BA31" s="5"/>
      <c r="BB31" s="5"/>
      <c r="BC31" s="5"/>
      <c r="BD31" s="5"/>
      <c r="BE31" s="241" t="s">
        <v>517</v>
      </c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48">
        <v>1</v>
      </c>
      <c r="BW31" s="5"/>
      <c r="BX31" s="5"/>
      <c r="BY31" s="5"/>
    </row>
    <row r="32" spans="2:84" ht="25.05" customHeight="1" thickBot="1" x14ac:dyDescent="0.35">
      <c r="J32" s="5"/>
      <c r="K32" s="100"/>
      <c r="L32" s="6"/>
      <c r="M32" s="6"/>
      <c r="N32" s="6"/>
      <c r="O32" s="5"/>
      <c r="R32" s="288" t="e">
        <f>SUM(R23:R31)</f>
        <v>#REF!</v>
      </c>
      <c r="S32" s="102"/>
      <c r="T32" s="102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5"/>
      <c r="BS32" s="5"/>
      <c r="BT32" s="5"/>
      <c r="BU32" s="5"/>
      <c r="BV32" s="48">
        <v>2</v>
      </c>
      <c r="BW32" s="5"/>
      <c r="BX32" s="5"/>
      <c r="BY32" s="5"/>
    </row>
    <row r="33" spans="10:77" ht="25.05" customHeight="1" thickBot="1" x14ac:dyDescent="0.35">
      <c r="J33" s="5"/>
      <c r="K33" s="100"/>
      <c r="L33" s="5"/>
      <c r="M33" s="5"/>
      <c r="N33" s="5"/>
      <c r="O33" s="5"/>
      <c r="Q33" s="621" t="s">
        <v>425</v>
      </c>
      <c r="R33" s="89"/>
      <c r="V33" s="322"/>
      <c r="W33" s="322"/>
      <c r="X33" s="322"/>
      <c r="Y33" s="322"/>
      <c r="Z33" s="322"/>
      <c r="AA33" s="322"/>
      <c r="AB33" s="322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5"/>
      <c r="AY33" s="5"/>
      <c r="AZ33" s="141" t="s">
        <v>256</v>
      </c>
      <c r="BA33" s="141"/>
      <c r="BB33" s="141"/>
      <c r="BC33" s="185">
        <v>5350</v>
      </c>
      <c r="BD33" s="185"/>
      <c r="BE33" s="185"/>
      <c r="BF33" s="185"/>
      <c r="BG33" s="185"/>
      <c r="BH33" s="185"/>
      <c r="BI33" s="185"/>
      <c r="BJ33" s="185"/>
      <c r="BK33" s="185"/>
      <c r="BL33" s="185"/>
      <c r="BM33" s="186"/>
      <c r="BN33" s="186"/>
      <c r="BO33" s="186"/>
      <c r="BP33" s="186"/>
      <c r="BQ33" s="186"/>
      <c r="BR33" s="186"/>
      <c r="BS33" s="5"/>
      <c r="BT33" s="5"/>
      <c r="BU33" s="5"/>
      <c r="BV33" s="48">
        <v>3</v>
      </c>
      <c r="BW33" s="5"/>
      <c r="BX33" s="5"/>
      <c r="BY33" s="5"/>
    </row>
    <row r="34" spans="10:77" ht="25.05" customHeight="1" thickBot="1" x14ac:dyDescent="0.35">
      <c r="J34" s="5"/>
      <c r="K34" s="5"/>
      <c r="L34" s="492"/>
      <c r="M34" s="492"/>
      <c r="N34" s="492"/>
      <c r="O34" s="492"/>
      <c r="Q34" s="621"/>
      <c r="R34" s="282" t="e">
        <f>R16+R32+H23</f>
        <v>#N/A</v>
      </c>
      <c r="S34" s="272"/>
      <c r="T34" s="272"/>
      <c r="AX34" s="5"/>
      <c r="AY34" s="5"/>
      <c r="AZ34" s="141" t="s">
        <v>257</v>
      </c>
      <c r="BA34" s="141"/>
      <c r="BB34" s="141"/>
      <c r="BC34" s="141">
        <v>5350</v>
      </c>
      <c r="BD34" s="185"/>
      <c r="BE34" s="141"/>
      <c r="BF34" s="141"/>
      <c r="BG34" s="141"/>
      <c r="BH34" s="141"/>
      <c r="BI34" s="141"/>
      <c r="BJ34" s="141"/>
      <c r="BK34" s="141"/>
      <c r="BL34" s="141"/>
      <c r="BM34" s="186"/>
      <c r="BN34" s="186"/>
      <c r="BO34" s="186"/>
      <c r="BP34" s="186"/>
      <c r="BQ34" s="186"/>
      <c r="BR34" s="186"/>
      <c r="BS34" s="5"/>
      <c r="BT34" s="5"/>
      <c r="BU34" s="5"/>
      <c r="BV34" s="48">
        <v>4</v>
      </c>
      <c r="BW34" s="5"/>
      <c r="BX34" s="5"/>
      <c r="BY34" s="5"/>
    </row>
    <row r="35" spans="10:77" ht="25.05" customHeight="1" x14ac:dyDescent="0.3">
      <c r="R35" s="89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185" t="s">
        <v>258</v>
      </c>
      <c r="BA35" s="185"/>
      <c r="BB35" s="185"/>
      <c r="BC35" s="141">
        <v>5350</v>
      </c>
      <c r="BD35" s="185"/>
      <c r="BE35" s="141"/>
      <c r="BF35" s="141"/>
      <c r="BG35" s="141"/>
      <c r="BH35" s="141"/>
      <c r="BI35" s="141"/>
      <c r="BJ35" s="141"/>
      <c r="BK35" s="141"/>
      <c r="BL35" s="141"/>
      <c r="BM35" s="186"/>
      <c r="BN35" s="186"/>
      <c r="BO35" s="186"/>
      <c r="BP35" s="186"/>
      <c r="BQ35" s="186"/>
      <c r="BR35" s="186"/>
      <c r="BS35" s="5"/>
      <c r="BT35" s="5"/>
      <c r="BU35" s="5"/>
      <c r="BV35" s="5"/>
      <c r="BW35" s="5"/>
      <c r="BX35" s="5"/>
      <c r="BY35" s="5"/>
    </row>
    <row r="36" spans="10:77" ht="25.05" customHeight="1" x14ac:dyDescent="0.3">
      <c r="R36" s="89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4" t="s">
        <v>264</v>
      </c>
      <c r="AZ36" s="96">
        <v>1000</v>
      </c>
      <c r="BA36" s="96">
        <v>1250</v>
      </c>
      <c r="BB36" s="96">
        <v>1800</v>
      </c>
      <c r="BC36" s="96">
        <v>2000</v>
      </c>
      <c r="BD36" s="96">
        <v>2500</v>
      </c>
      <c r="BE36" s="96">
        <v>2700</v>
      </c>
      <c r="BF36" s="96">
        <v>3000</v>
      </c>
      <c r="BG36" s="96">
        <v>3600</v>
      </c>
      <c r="BH36" s="96">
        <v>3750</v>
      </c>
      <c r="BI36" s="96">
        <v>4000</v>
      </c>
      <c r="BJ36" s="96">
        <v>5000</v>
      </c>
      <c r="BK36" s="142">
        <v>5400</v>
      </c>
      <c r="BL36" s="187"/>
      <c r="BM36" s="186"/>
      <c r="BN36" s="186"/>
      <c r="BO36" s="186"/>
      <c r="BP36" s="186"/>
      <c r="BQ36" s="186"/>
      <c r="BR36" s="186"/>
      <c r="BS36" s="5"/>
      <c r="BT36" s="5"/>
      <c r="BU36" s="5"/>
      <c r="BV36" s="5"/>
      <c r="BW36" s="5"/>
      <c r="BX36" s="5"/>
      <c r="BY36" s="5"/>
    </row>
    <row r="37" spans="10:77" ht="25.05" customHeight="1" x14ac:dyDescent="0.3"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146">
        <f>IF(C18=$BV$10,(F18*E18/1000000)*8,IF(C18=$BV$11,(F18*E18/1000000)*6.5,(F18*E18/1000000)*11))</f>
        <v>21.541278000000002</v>
      </c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315">
        <f>BK24</f>
        <v>0</v>
      </c>
      <c r="BL37" s="141"/>
      <c r="BM37" s="188"/>
      <c r="BN37" s="188"/>
      <c r="BO37" s="188"/>
      <c r="BP37" s="188"/>
      <c r="BQ37" s="188"/>
      <c r="BR37" s="188"/>
      <c r="BS37" s="5"/>
      <c r="BT37" s="5"/>
      <c r="BU37" s="5"/>
      <c r="BV37" s="54" t="s">
        <v>179</v>
      </c>
      <c r="BW37" s="5"/>
      <c r="BX37" s="5"/>
      <c r="BY37" s="5"/>
    </row>
    <row r="38" spans="10:77" ht="25.05" customHeight="1" x14ac:dyDescent="0.3">
      <c r="AY38" s="146">
        <f>IF(C19=$BV$10,(F19*E19/1000000)*8,IF(C19=$BV$11,(F19*E19/1000000)*6.5,(F19*E19/1000000)*11))</f>
        <v>0</v>
      </c>
      <c r="AZ38" s="197"/>
      <c r="BA38" s="197"/>
      <c r="BB38" s="197"/>
      <c r="BC38" s="197"/>
      <c r="BD38" s="198">
        <f>IF(AND(BL38&gt;0,BL38&lt;=2500),1,0)</f>
        <v>1</v>
      </c>
      <c r="BE38" s="197"/>
      <c r="BF38" s="197"/>
      <c r="BG38" s="197"/>
      <c r="BH38" s="197"/>
      <c r="BI38" s="197"/>
      <c r="BJ38" s="198">
        <f>IF(AND(BL38&gt;2500,BL38&lt;=4950),BM38+1,BM38)</f>
        <v>0</v>
      </c>
      <c r="BK38" s="197"/>
      <c r="BL38" s="199">
        <f>BL23</f>
        <v>800</v>
      </c>
      <c r="BM38" s="199">
        <f t="shared" ref="BM38:BP38" si="26">BM23</f>
        <v>0</v>
      </c>
      <c r="BN38" s="199">
        <f t="shared" si="26"/>
        <v>0</v>
      </c>
      <c r="BO38" s="199">
        <f t="shared" si="26"/>
        <v>0</v>
      </c>
      <c r="BP38" s="199">
        <f t="shared" si="26"/>
        <v>0</v>
      </c>
      <c r="BQ38" s="199"/>
      <c r="BR38" s="199"/>
      <c r="BV38" s="54" t="s">
        <v>174</v>
      </c>
      <c r="BW38" s="5"/>
      <c r="BX38" s="5"/>
      <c r="BY38" s="5"/>
    </row>
    <row r="39" spans="10:77" ht="25.05" customHeight="1" x14ac:dyDescent="0.3">
      <c r="AY39" s="146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99">
        <f t="shared" ref="BL39:BP39" si="27">BL24</f>
        <v>0</v>
      </c>
      <c r="BM39" s="199">
        <f t="shared" si="27"/>
        <v>0</v>
      </c>
      <c r="BN39" s="199">
        <f t="shared" si="27"/>
        <v>0</v>
      </c>
      <c r="BO39" s="199">
        <f t="shared" si="27"/>
        <v>0</v>
      </c>
      <c r="BP39" s="199">
        <f t="shared" si="27"/>
        <v>0</v>
      </c>
      <c r="BQ39" s="199"/>
      <c r="BR39" s="199"/>
      <c r="BW39" s="5"/>
      <c r="BX39" s="5"/>
      <c r="BY39" s="5"/>
    </row>
    <row r="40" spans="10:77" ht="25.05" customHeight="1" x14ac:dyDescent="0.3">
      <c r="AY40" s="146">
        <f>IF(C21=$BV$10,(F21*E21/1000000)*8,IF(C21=$BV$11,(F21*E21/1000000)*6.5,(F21*E21/1000000)*11))</f>
        <v>0</v>
      </c>
      <c r="AZ40" s="200"/>
      <c r="BA40" s="200"/>
      <c r="BB40" s="200"/>
      <c r="BC40" s="200"/>
      <c r="BD40" s="201">
        <f>IF(AND(BL40&gt;0,BL40&lt;=2500),1,0)</f>
        <v>1</v>
      </c>
      <c r="BE40" s="200"/>
      <c r="BF40" s="200"/>
      <c r="BG40" s="200"/>
      <c r="BH40" s="200"/>
      <c r="BI40" s="200"/>
      <c r="BJ40" s="201">
        <f>IF(AND(BL40&gt;2500,BL40&lt;=5025),BM40+1,BM40)</f>
        <v>0</v>
      </c>
      <c r="BK40" s="200"/>
      <c r="BL40" s="199">
        <f t="shared" ref="BL40:BP40" si="28">BL25</f>
        <v>1600</v>
      </c>
      <c r="BM40" s="199">
        <f t="shared" si="28"/>
        <v>0</v>
      </c>
      <c r="BN40" s="199">
        <f t="shared" si="28"/>
        <v>0</v>
      </c>
      <c r="BO40" s="199">
        <f t="shared" si="28"/>
        <v>0</v>
      </c>
      <c r="BP40" s="199">
        <f t="shared" si="28"/>
        <v>0</v>
      </c>
      <c r="BQ40" s="199"/>
      <c r="BR40" s="199"/>
      <c r="BW40" s="5"/>
      <c r="BX40" s="5"/>
      <c r="BY40" s="5"/>
    </row>
    <row r="41" spans="10:77" ht="25.05" customHeight="1" thickBot="1" x14ac:dyDescent="0.35">
      <c r="AY41" s="146">
        <f>IF(C22=$BV$10,(F22*E22/1000000)*8,IF(C22=$BV$11,(F22*E22/1000000)*6.5,(F22*E22/1000000)*11))</f>
        <v>0</v>
      </c>
      <c r="AZ41" s="143"/>
      <c r="BA41" s="143"/>
      <c r="BB41" s="143"/>
      <c r="BC41" s="143"/>
      <c r="BD41" s="141">
        <f>IF(AND(BL41&gt;0,BL41&lt;=2500),1,0)</f>
        <v>1</v>
      </c>
      <c r="BE41" s="143"/>
      <c r="BF41" s="143"/>
      <c r="BG41" s="143"/>
      <c r="BH41" s="143"/>
      <c r="BI41" s="143"/>
      <c r="BJ41" s="141">
        <f>IF(AND(BL41&gt;2500,BL41&lt;=4950),BM41+1,BM41)</f>
        <v>0</v>
      </c>
      <c r="BK41" s="143"/>
      <c r="BL41" s="199">
        <f t="shared" ref="BL41:BP41" si="29">BL26</f>
        <v>776</v>
      </c>
      <c r="BM41" s="199">
        <f t="shared" si="29"/>
        <v>0</v>
      </c>
      <c r="BN41" s="199">
        <f t="shared" si="29"/>
        <v>0</v>
      </c>
      <c r="BO41" s="199">
        <f t="shared" si="29"/>
        <v>0</v>
      </c>
      <c r="BP41" s="199">
        <f t="shared" si="29"/>
        <v>0</v>
      </c>
      <c r="BQ41" s="199"/>
      <c r="BR41" s="199"/>
      <c r="BV41" s="1" t="s">
        <v>177</v>
      </c>
      <c r="BW41" s="5"/>
      <c r="BX41" s="5"/>
      <c r="BY41" s="5"/>
    </row>
    <row r="42" spans="10:77" ht="25.05" customHeight="1" thickBot="1" x14ac:dyDescent="0.35">
      <c r="AY42" s="195">
        <f>SUM(AY37:AY41)</f>
        <v>21.541278000000002</v>
      </c>
      <c r="AZ42" s="143"/>
      <c r="BA42" s="143"/>
      <c r="BB42" s="143"/>
      <c r="BC42" s="143"/>
      <c r="BD42" s="190">
        <f>IF(AND(J14=BY7,BL42&gt;0,BL42&lt;=2500),1,0)</f>
        <v>0</v>
      </c>
      <c r="BE42" s="191">
        <f>IF(AND(J14=BY6,BO42&gt;0,BO42&lt;=2700),1,0)</f>
        <v>0</v>
      </c>
      <c r="BF42" s="143"/>
      <c r="BG42" s="143"/>
      <c r="BH42" s="143"/>
      <c r="BI42" s="143"/>
      <c r="BJ42" s="190">
        <f>IF(AND(J14=BY7,BL42&gt;2500,BL42&lt;=4950),BM42+1,BM42)</f>
        <v>0</v>
      </c>
      <c r="BK42" s="191">
        <f>IF(AND(J14=BY6,BO42&gt;2700,BO42&lt;=5350),BP42+1,BP42)</f>
        <v>0</v>
      </c>
      <c r="BL42" s="199">
        <f t="shared" ref="BL42:BP42" si="30">BL27</f>
        <v>0</v>
      </c>
      <c r="BM42" s="199">
        <f t="shared" si="30"/>
        <v>0</v>
      </c>
      <c r="BN42" s="199">
        <f t="shared" si="30"/>
        <v>0</v>
      </c>
      <c r="BO42" s="199">
        <f t="shared" si="30"/>
        <v>0</v>
      </c>
      <c r="BP42" s="199">
        <f t="shared" si="30"/>
        <v>0</v>
      </c>
      <c r="BQ42" s="199"/>
      <c r="BR42" s="199"/>
      <c r="BV42" s="54" t="s">
        <v>174</v>
      </c>
      <c r="BW42" s="5"/>
      <c r="BX42" s="5"/>
      <c r="BY42" s="5"/>
    </row>
    <row r="43" spans="10:77" ht="25.05" customHeight="1" x14ac:dyDescent="0.3">
      <c r="AY43" s="38"/>
      <c r="AZ43" s="192"/>
      <c r="BA43" s="192"/>
      <c r="BB43" s="192"/>
      <c r="BC43" s="192"/>
      <c r="BD43" s="192"/>
      <c r="BE43" s="141">
        <f>IF(AND(BO43&gt;0,BO43&lt;=2700),1,0)</f>
        <v>0</v>
      </c>
      <c r="BF43" s="192"/>
      <c r="BG43" s="192"/>
      <c r="BH43" s="192"/>
      <c r="BI43" s="192"/>
      <c r="BJ43" s="192"/>
      <c r="BK43" s="141">
        <f>IF(AND(BO43&gt;2700,BO43&lt;=5350),BP43+1,BP43)</f>
        <v>0</v>
      </c>
      <c r="BL43" s="199">
        <f t="shared" ref="BL43:BP43" si="31">BL28</f>
        <v>0</v>
      </c>
      <c r="BM43" s="199">
        <f t="shared" si="31"/>
        <v>0</v>
      </c>
      <c r="BN43" s="199">
        <f t="shared" si="31"/>
        <v>0</v>
      </c>
      <c r="BO43" s="199">
        <f t="shared" si="31"/>
        <v>0</v>
      </c>
      <c r="BP43" s="199">
        <f t="shared" si="31"/>
        <v>0</v>
      </c>
      <c r="BQ43" s="199"/>
      <c r="BR43" s="199"/>
      <c r="BS43" s="38"/>
      <c r="BT43" s="38"/>
      <c r="BU43" s="38"/>
      <c r="BV43" s="5"/>
      <c r="BW43" s="5"/>
      <c r="BX43" s="5"/>
      <c r="BY43" s="5"/>
    </row>
    <row r="44" spans="10:77" ht="25.05" customHeight="1" x14ac:dyDescent="0.3"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5"/>
      <c r="BW44" s="5"/>
      <c r="BX44" s="5"/>
      <c r="BY44" s="5"/>
    </row>
    <row r="45" spans="10:77" ht="25.05" customHeight="1" x14ac:dyDescent="0.3"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79" t="s">
        <v>118</v>
      </c>
      <c r="BW45" s="5"/>
      <c r="BX45" s="5"/>
      <c r="BY45" s="5"/>
    </row>
    <row r="46" spans="10:77" ht="25.05" customHeight="1" x14ac:dyDescent="0.3">
      <c r="AY46" s="38"/>
      <c r="AZ46" s="5"/>
      <c r="BA46" s="5"/>
      <c r="BB46" s="5"/>
      <c r="BC46" s="5"/>
      <c r="BD46" s="5"/>
      <c r="BE46" s="241" t="s">
        <v>518</v>
      </c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38"/>
      <c r="BT46" s="38"/>
      <c r="BU46" s="38"/>
      <c r="BV46" s="79" t="s">
        <v>119</v>
      </c>
      <c r="BW46" s="5"/>
      <c r="BX46" s="5"/>
      <c r="BY46" s="5"/>
    </row>
    <row r="47" spans="10:77" ht="25.05" customHeight="1" x14ac:dyDescent="0.3">
      <c r="AY47" s="38"/>
      <c r="BS47" s="38"/>
      <c r="BT47" s="38"/>
      <c r="BU47" s="38"/>
      <c r="BV47" s="5"/>
      <c r="BW47" s="5"/>
      <c r="BX47" s="5"/>
      <c r="BY47" s="5"/>
    </row>
    <row r="48" spans="10:77" ht="25.05" customHeight="1" x14ac:dyDescent="0.3">
      <c r="AY48" s="38"/>
      <c r="AZ48" s="141" t="s">
        <v>256</v>
      </c>
      <c r="BA48" s="141"/>
      <c r="BB48" s="141"/>
      <c r="BC48" s="185">
        <v>5350</v>
      </c>
      <c r="BD48" s="185"/>
      <c r="BE48" s="185"/>
      <c r="BF48" s="185"/>
      <c r="BG48" s="185"/>
      <c r="BH48" s="185"/>
      <c r="BI48" s="185"/>
      <c r="BJ48" s="185"/>
      <c r="BK48" s="185"/>
      <c r="BL48" s="185"/>
      <c r="BM48" s="186"/>
      <c r="BN48" s="186"/>
      <c r="BO48" s="186"/>
      <c r="BP48" s="186"/>
      <c r="BQ48" s="186"/>
      <c r="BR48" s="186"/>
      <c r="BS48" s="38"/>
      <c r="BT48" s="38"/>
      <c r="BU48" s="38"/>
      <c r="BV48" s="5"/>
      <c r="BW48" s="5"/>
      <c r="BX48" s="5"/>
      <c r="BY48" s="5"/>
    </row>
    <row r="49" spans="51:77" s="54" customFormat="1" ht="25.05" customHeight="1" x14ac:dyDescent="0.35">
      <c r="AY49" s="38"/>
      <c r="AZ49" s="141" t="s">
        <v>257</v>
      </c>
      <c r="BA49" s="141"/>
      <c r="BB49" s="141"/>
      <c r="BC49" s="141">
        <v>5350</v>
      </c>
      <c r="BD49" s="185"/>
      <c r="BE49" s="141"/>
      <c r="BF49" s="141"/>
      <c r="BG49" s="141"/>
      <c r="BH49" s="141"/>
      <c r="BI49" s="141"/>
      <c r="BJ49" s="141"/>
      <c r="BK49" s="141"/>
      <c r="BL49" s="141"/>
      <c r="BM49" s="186"/>
      <c r="BN49" s="186"/>
      <c r="BO49" s="186"/>
      <c r="BP49" s="186"/>
      <c r="BQ49" s="186"/>
      <c r="BR49" s="186"/>
      <c r="BS49" s="38"/>
      <c r="BT49" s="38"/>
      <c r="BU49" s="38"/>
      <c r="BV49" s="90" t="s">
        <v>126</v>
      </c>
      <c r="BW49" s="5"/>
      <c r="BX49" s="5"/>
      <c r="BY49" s="5"/>
    </row>
    <row r="50" spans="51:77" s="54" customFormat="1" ht="25.05" customHeight="1" x14ac:dyDescent="0.3">
      <c r="AY50" s="38"/>
      <c r="AZ50" s="185" t="s">
        <v>258</v>
      </c>
      <c r="BA50" s="185"/>
      <c r="BB50" s="185"/>
      <c r="BC50" s="141">
        <v>5350</v>
      </c>
      <c r="BD50" s="185"/>
      <c r="BE50" s="141"/>
      <c r="BF50" s="141"/>
      <c r="BG50" s="141"/>
      <c r="BH50" s="141"/>
      <c r="BI50" s="141"/>
      <c r="BJ50" s="141"/>
      <c r="BK50" s="141"/>
      <c r="BL50" s="141"/>
      <c r="BM50" s="186"/>
      <c r="BN50" s="186"/>
      <c r="BO50" s="186"/>
      <c r="BP50" s="186"/>
      <c r="BQ50" s="186"/>
      <c r="BR50" s="186"/>
      <c r="BS50" s="38"/>
      <c r="BT50" s="38"/>
      <c r="BU50" s="38"/>
      <c r="BV50" s="1" t="s">
        <v>94</v>
      </c>
      <c r="BW50" s="5"/>
      <c r="BX50" s="5"/>
      <c r="BY50" s="5"/>
    </row>
    <row r="51" spans="51:77" s="54" customFormat="1" ht="25.05" customHeight="1" x14ac:dyDescent="0.3">
      <c r="AZ51" s="96">
        <v>1000</v>
      </c>
      <c r="BA51" s="96">
        <v>1250</v>
      </c>
      <c r="BB51" s="96">
        <v>1800</v>
      </c>
      <c r="BC51" s="96">
        <v>2000</v>
      </c>
      <c r="BD51" s="96">
        <v>2500</v>
      </c>
      <c r="BE51" s="96">
        <v>2700</v>
      </c>
      <c r="BF51" s="96">
        <v>3000</v>
      </c>
      <c r="BG51" s="96">
        <v>3600</v>
      </c>
      <c r="BH51" s="96">
        <v>3750</v>
      </c>
      <c r="BI51" s="96">
        <v>4000</v>
      </c>
      <c r="BJ51" s="96">
        <v>5000</v>
      </c>
      <c r="BK51" s="142">
        <v>5400</v>
      </c>
      <c r="BL51" s="187"/>
      <c r="BM51" s="186"/>
      <c r="BN51" s="186"/>
      <c r="BO51" s="186"/>
      <c r="BP51" s="186"/>
      <c r="BQ51" s="186"/>
      <c r="BR51" s="186"/>
      <c r="BV51" s="38" t="str">
        <f>Подвесная!BU50</f>
        <v>Серебро матовое</v>
      </c>
      <c r="BW51" s="5"/>
      <c r="BX51" s="5"/>
      <c r="BY51" s="5"/>
    </row>
    <row r="52" spans="51:77" s="54" customFormat="1" ht="25.05" customHeight="1" x14ac:dyDescent="0.3"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315">
        <f>BK39</f>
        <v>0</v>
      </c>
      <c r="BL52" s="141"/>
      <c r="BM52" s="188"/>
      <c r="BN52" s="188"/>
      <c r="BO52" s="188"/>
      <c r="BP52" s="188"/>
      <c r="BQ52" s="188"/>
      <c r="BR52" s="188"/>
      <c r="BV52" s="38" t="str">
        <f>Подвесная!BU51</f>
        <v>Черный матовый</v>
      </c>
      <c r="BW52" s="5"/>
      <c r="BX52" s="5"/>
      <c r="BY52" s="5"/>
    </row>
    <row r="53" spans="51:77" s="54" customFormat="1" ht="25.05" customHeight="1" x14ac:dyDescent="0.3">
      <c r="AZ53" s="197"/>
      <c r="BA53" s="197"/>
      <c r="BB53" s="197"/>
      <c r="BC53" s="197"/>
      <c r="BD53" s="198">
        <f>IF(AND(BL53&gt;0,BL53&lt;=2500),1,0)</f>
        <v>1</v>
      </c>
      <c r="BE53" s="197"/>
      <c r="BF53" s="197"/>
      <c r="BG53" s="197"/>
      <c r="BH53" s="197"/>
      <c r="BI53" s="197"/>
      <c r="BJ53" s="198">
        <f>IF(AND(BL53&gt;2500,BL53&lt;=4950),BM53+1,BM53)</f>
        <v>0</v>
      </c>
      <c r="BK53" s="197"/>
      <c r="BL53" s="199">
        <f>BL38</f>
        <v>800</v>
      </c>
      <c r="BM53" s="199">
        <f t="shared" ref="BM53:BP53" si="32">BM38</f>
        <v>0</v>
      </c>
      <c r="BN53" s="199">
        <f t="shared" si="32"/>
        <v>0</v>
      </c>
      <c r="BO53" s="199">
        <f t="shared" si="32"/>
        <v>0</v>
      </c>
      <c r="BP53" s="199">
        <f t="shared" si="32"/>
        <v>0</v>
      </c>
      <c r="BQ53" s="199"/>
      <c r="BR53" s="199"/>
      <c r="BV53" s="38" t="str">
        <f>Подвесная!BU52</f>
        <v>Слоновая кость</v>
      </c>
      <c r="BW53" s="5"/>
      <c r="BX53" s="5"/>
      <c r="BY53" s="5"/>
    </row>
    <row r="54" spans="51:77" s="54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99">
        <f t="shared" ref="BL54:BP54" si="33">BL39</f>
        <v>0</v>
      </c>
      <c r="BM54" s="199">
        <f t="shared" si="33"/>
        <v>0</v>
      </c>
      <c r="BN54" s="199">
        <f t="shared" si="33"/>
        <v>0</v>
      </c>
      <c r="BO54" s="199">
        <f t="shared" si="33"/>
        <v>0</v>
      </c>
      <c r="BP54" s="199">
        <f t="shared" si="33"/>
        <v>0</v>
      </c>
      <c r="BQ54" s="199"/>
      <c r="BR54" s="199"/>
      <c r="BV54" s="38" t="str">
        <f>Подвесная!BU53</f>
        <v>Белый матовый</v>
      </c>
    </row>
    <row r="55" spans="51:77" s="54" customFormat="1" ht="25.05" customHeight="1" x14ac:dyDescent="0.3">
      <c r="AZ55" s="200"/>
      <c r="BA55" s="200"/>
      <c r="BB55" s="200"/>
      <c r="BC55" s="200"/>
      <c r="BD55" s="201">
        <f>IF(AND(BL55&gt;0,BL55&lt;=2500),1,0)</f>
        <v>1</v>
      </c>
      <c r="BE55" s="200"/>
      <c r="BF55" s="200"/>
      <c r="BG55" s="200"/>
      <c r="BH55" s="200"/>
      <c r="BI55" s="200"/>
      <c r="BJ55" s="201">
        <f>IF(AND(BL55&gt;2500,BL55&lt;=5025),BM55+1,BM55)</f>
        <v>0</v>
      </c>
      <c r="BK55" s="200"/>
      <c r="BL55" s="199">
        <f t="shared" ref="BL55:BP55" si="34">BL40</f>
        <v>1600</v>
      </c>
      <c r="BM55" s="199">
        <f t="shared" si="34"/>
        <v>0</v>
      </c>
      <c r="BN55" s="199">
        <f t="shared" si="34"/>
        <v>0</v>
      </c>
      <c r="BO55" s="199">
        <f t="shared" si="34"/>
        <v>0</v>
      </c>
      <c r="BP55" s="199">
        <f t="shared" si="34"/>
        <v>0</v>
      </c>
      <c r="BQ55" s="199"/>
      <c r="BR55" s="199"/>
      <c r="BV55" s="38" t="str">
        <f>Подвесная!BU54</f>
        <v xml:space="preserve">Венге темный </v>
      </c>
    </row>
    <row r="56" spans="51:77" s="54" customFormat="1" ht="25.05" customHeight="1" x14ac:dyDescent="0.3">
      <c r="AZ56" s="143"/>
      <c r="BA56" s="143"/>
      <c r="BB56" s="143"/>
      <c r="BC56" s="143"/>
      <c r="BD56" s="141">
        <f>IF(AND(BL56&gt;0,BL56&lt;=2500),1,0)</f>
        <v>1</v>
      </c>
      <c r="BE56" s="143"/>
      <c r="BF56" s="143"/>
      <c r="BG56" s="143"/>
      <c r="BH56" s="143"/>
      <c r="BI56" s="143"/>
      <c r="BJ56" s="141">
        <f>IF(AND(BL56&gt;2500,BL56&lt;=4950),BM56+1,BM56)</f>
        <v>0</v>
      </c>
      <c r="BK56" s="143"/>
      <c r="BL56" s="199">
        <f t="shared" ref="BL56:BP56" si="35">BL41</f>
        <v>776</v>
      </c>
      <c r="BM56" s="199">
        <f t="shared" si="35"/>
        <v>0</v>
      </c>
      <c r="BN56" s="199">
        <f t="shared" si="35"/>
        <v>0</v>
      </c>
      <c r="BO56" s="199">
        <f t="shared" si="35"/>
        <v>0</v>
      </c>
      <c r="BP56" s="199">
        <f t="shared" si="35"/>
        <v>0</v>
      </c>
      <c r="BQ56" s="199"/>
      <c r="BR56" s="199"/>
      <c r="BV56" s="38" t="str">
        <f>Подвесная!BU55</f>
        <v>Дуб белый</v>
      </c>
    </row>
    <row r="57" spans="51:77" s="54" customFormat="1" ht="25.05" customHeight="1" x14ac:dyDescent="0.3">
      <c r="AZ57" s="143"/>
      <c r="BA57" s="143"/>
      <c r="BB57" s="191">
        <f>IF(AND(J14=BY6,BO57&gt;0,BO57&lt;=1800),1,0)</f>
        <v>0</v>
      </c>
      <c r="BC57" s="143"/>
      <c r="BD57" s="190">
        <f>IF(AND(J14=BY7,BL57&gt;0,BL57&lt;=2500),1,0)</f>
        <v>0</v>
      </c>
      <c r="BE57" s="191">
        <f>IF(AND(J14=BY6,BO57&gt;1800,BO57&lt;=2700),1,0)</f>
        <v>0</v>
      </c>
      <c r="BF57" s="143"/>
      <c r="BG57" s="191">
        <f>IF(AND(J14=BY6,BO57&gt;2700,BO57&lt;=3600),1,0)</f>
        <v>0</v>
      </c>
      <c r="BH57" s="143"/>
      <c r="BI57" s="143"/>
      <c r="BJ57" s="190">
        <f>IF(AND(J14=BY7,BL57&gt;2500,BL57&lt;=4950),BM57+1,BM57)</f>
        <v>0</v>
      </c>
      <c r="BK57" s="191">
        <f>IF(AND(J14=BY6,BO57&gt;3600,BO57&lt;=5350),BP57+1,BP57)</f>
        <v>0</v>
      </c>
      <c r="BL57" s="199">
        <f t="shared" ref="BL57:BP57" si="36">BL42</f>
        <v>0</v>
      </c>
      <c r="BM57" s="199">
        <f t="shared" si="36"/>
        <v>0</v>
      </c>
      <c r="BN57" s="199">
        <f t="shared" si="36"/>
        <v>0</v>
      </c>
      <c r="BO57" s="199">
        <f t="shared" si="36"/>
        <v>0</v>
      </c>
      <c r="BP57" s="199">
        <f t="shared" si="36"/>
        <v>0</v>
      </c>
      <c r="BQ57" s="199"/>
      <c r="BR57" s="199"/>
      <c r="BV57" s="38" t="str">
        <f>Подвесная!BU56</f>
        <v xml:space="preserve"> медь античная*</v>
      </c>
    </row>
    <row r="58" spans="51:77" s="54" customFormat="1" ht="25.05" customHeight="1" x14ac:dyDescent="0.3">
      <c r="AZ58" s="192"/>
      <c r="BA58" s="192"/>
      <c r="BB58" s="192"/>
      <c r="BC58" s="192"/>
      <c r="BD58" s="192"/>
      <c r="BE58" s="141">
        <f>IF(AND(BO58&gt;0,BO58&lt;=2700),1,0)</f>
        <v>0</v>
      </c>
      <c r="BF58" s="192"/>
      <c r="BG58" s="192"/>
      <c r="BH58" s="192"/>
      <c r="BI58" s="192"/>
      <c r="BJ58" s="192"/>
      <c r="BK58" s="141">
        <f>IF(AND(BO58&gt;2700,BO58&lt;=5350),BP58+1,BP58)</f>
        <v>0</v>
      </c>
      <c r="BL58" s="199">
        <f t="shared" ref="BL58:BP58" si="37">BL43</f>
        <v>0</v>
      </c>
      <c r="BM58" s="199">
        <f t="shared" si="37"/>
        <v>0</v>
      </c>
      <c r="BN58" s="199">
        <f t="shared" si="37"/>
        <v>0</v>
      </c>
      <c r="BO58" s="199">
        <f t="shared" si="37"/>
        <v>0</v>
      </c>
      <c r="BP58" s="199">
        <f t="shared" si="37"/>
        <v>0</v>
      </c>
      <c r="BQ58" s="199"/>
      <c r="BR58" s="199"/>
      <c r="BV58" s="38" t="str">
        <f>Подвесная!BU57</f>
        <v>сталь воронёная</v>
      </c>
    </row>
    <row r="59" spans="51:77" x14ac:dyDescent="0.3">
      <c r="BV59" s="38" t="str">
        <f>Подвесная!BU58</f>
        <v>золото матовое</v>
      </c>
    </row>
    <row r="60" spans="51:77" x14ac:dyDescent="0.3">
      <c r="BV60" s="38" t="str">
        <f>Подвесная!BU59</f>
        <v>антрацит</v>
      </c>
    </row>
    <row r="61" spans="51:77" x14ac:dyDescent="0.3">
      <c r="BV61" s="38" t="str">
        <f>Подвесная!BU60</f>
        <v>кварц бронзовый*</v>
      </c>
    </row>
    <row r="62" spans="51:77" x14ac:dyDescent="0.3">
      <c r="BV62" s="38" t="str">
        <f>Подвесная!BU61</f>
        <v>жемчуг серый*</v>
      </c>
    </row>
    <row r="63" spans="51:77" x14ac:dyDescent="0.3">
      <c r="BV63" s="38" t="str">
        <f>Подвесная!BU62</f>
        <v>жемчуг розовый*</v>
      </c>
    </row>
  </sheetData>
  <sheetProtection algorithmName="SHA-512" hashValue="XQ938uqD0mTtzd2WmaQCoPsWhcj4JiIHGhU3B1syqKTLZHQT4Lq5MjkdZPXKOLKHscg9NjujSXDhYwTfQE8S0Q==" saltValue="XOLM2L0HkUYWfRMWrJgn0w==" spinCount="100000" sheet="1" selectLockedCells="1"/>
  <mergeCells count="52">
    <mergeCell ref="J27:M27"/>
    <mergeCell ref="J28:M28"/>
    <mergeCell ref="W3:Y3"/>
    <mergeCell ref="C26:D26"/>
    <mergeCell ref="E23:G23"/>
    <mergeCell ref="J21:L21"/>
    <mergeCell ref="R10:R11"/>
    <mergeCell ref="U10:U11"/>
    <mergeCell ref="C24:D24"/>
    <mergeCell ref="U16:AG16"/>
    <mergeCell ref="AF10:AF11"/>
    <mergeCell ref="Y10:Y11"/>
    <mergeCell ref="Z10:Z11"/>
    <mergeCell ref="X10:X11"/>
    <mergeCell ref="W10:W11"/>
    <mergeCell ref="AB10:AB11"/>
    <mergeCell ref="J24:M24"/>
    <mergeCell ref="J26:M26"/>
    <mergeCell ref="E4:H4"/>
    <mergeCell ref="E5:H5"/>
    <mergeCell ref="E6:H6"/>
    <mergeCell ref="E7:H7"/>
    <mergeCell ref="AC18:AG18"/>
    <mergeCell ref="AE10:AE11"/>
    <mergeCell ref="Q33:Q34"/>
    <mergeCell ref="B1:H1"/>
    <mergeCell ref="J1:O1"/>
    <mergeCell ref="J22:M22"/>
    <mergeCell ref="J23:M23"/>
    <mergeCell ref="J25:M25"/>
    <mergeCell ref="E8:H8"/>
    <mergeCell ref="E9:H9"/>
    <mergeCell ref="B3:D3"/>
    <mergeCell ref="B4:D4"/>
    <mergeCell ref="B5:D5"/>
    <mergeCell ref="B6:D6"/>
    <mergeCell ref="B7:D7"/>
    <mergeCell ref="B8:D8"/>
    <mergeCell ref="B9:D9"/>
    <mergeCell ref="E3:H3"/>
    <mergeCell ref="Z3:AA3"/>
    <mergeCell ref="V10:V11"/>
    <mergeCell ref="AC10:AC11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</mergeCells>
  <conditionalFormatting sqref="U10:AF15">
    <cfRule type="cellIs" dxfId="31" priority="67" operator="equal">
      <formula>0</formula>
    </cfRule>
  </conditionalFormatting>
  <conditionalFormatting sqref="K4">
    <cfRule type="expression" dxfId="30" priority="89">
      <formula>$K$4&gt;3200</formula>
    </cfRule>
  </conditionalFormatting>
  <conditionalFormatting sqref="K5">
    <cfRule type="expression" dxfId="29" priority="53">
      <formula>OR($K$5&lt;200,$K$5&gt;1200)</formula>
    </cfRule>
  </conditionalFormatting>
  <conditionalFormatting sqref="S34:T34">
    <cfRule type="expression" dxfId="28" priority="914">
      <formula>$E$4=0</formula>
    </cfRule>
  </conditionalFormatting>
  <conditionalFormatting sqref="K20:L20 AH16 S32 L9:Q10 K4:K5 U15:AH15 T14:AF15 S14:S16 S23:S27 AT12:AW13 AT9:AW10 S9:AH10 S12:AH13 AU11:AU15 U13:AG15 AT16:AW16 AV17 AT15:AU15 P12:Q15 L11:O11 P23:Q27 O26:O27">
    <cfRule type="expression" dxfId="27" priority="916">
      <formula>$E$4=0</formula>
    </cfRule>
  </conditionalFormatting>
  <conditionalFormatting sqref="E18 F18:H22 H23 K4:K5 O29:Q31 T16 S17 S28:S31 P28:Q28">
    <cfRule type="expression" dxfId="26" priority="930">
      <formula>$E$4=0</formula>
    </cfRule>
  </conditionalFormatting>
  <conditionalFormatting sqref="AB3:AC3">
    <cfRule type="expression" dxfId="25" priority="38">
      <formula>$CF$19=FALSE</formula>
    </cfRule>
  </conditionalFormatting>
  <conditionalFormatting sqref="AQ15:AS16 AQ9:AS10 AJ10:AT10 AI9:AI16 AJ12:AT15">
    <cfRule type="expression" dxfId="24" priority="23">
      <formula>$E$4=0</formula>
    </cfRule>
  </conditionalFormatting>
  <conditionalFormatting sqref="AL12:AP13 AL9:AP10 AL15:AP16">
    <cfRule type="expression" dxfId="23" priority="20">
      <formula>$E$4=0</formula>
    </cfRule>
  </conditionalFormatting>
  <conditionalFormatting sqref="AJ15:AK16 AJ9:AK10 AJ12:AK13">
    <cfRule type="expression" dxfId="22" priority="17">
      <formula>$E$4=0</formula>
    </cfRule>
  </conditionalFormatting>
  <conditionalFormatting sqref="E9">
    <cfRule type="expression" dxfId="21" priority="1135">
      <formula>$E$8=$BV$17</formula>
    </cfRule>
  </conditionalFormatting>
  <conditionalFormatting sqref="H27">
    <cfRule type="expression" dxfId="20" priority="1136">
      <formula>AND($E$8=$BV$18,$H$27&gt;30)</formula>
    </cfRule>
    <cfRule type="expression" dxfId="19" priority="1137">
      <formula>$H$27&gt;50</formula>
    </cfRule>
  </conditionalFormatting>
  <conditionalFormatting sqref="C24:D24">
    <cfRule type="expression" dxfId="18" priority="1138">
      <formula>$C$24=$BV$45</formula>
    </cfRule>
  </conditionalFormatting>
  <conditionalFormatting sqref="C26">
    <cfRule type="expression" dxfId="17" priority="1139">
      <formula>$C$26=$BV$49</formula>
    </cfRule>
  </conditionalFormatting>
  <conditionalFormatting sqref="C24">
    <cfRule type="expression" dxfId="16" priority="1140">
      <formula>$C$24=$BV$46</formula>
    </cfRule>
  </conditionalFormatting>
  <conditionalFormatting sqref="T14:AH16 S14:S17 S22:S33 R20:S21 R1:AH2 R19:AW19 S34:AW34 R6:AH6 S4:AH5 R3:T3 V3:W3 Z3:AH3 S7:AH13 U13:AG15 AI1:AW13 AV17 AI16:AW16 AI14:AU15 R18:AB18 AI18:AW18">
    <cfRule type="expression" dxfId="15" priority="1141">
      <formula>$N$3=$CE$9</formula>
    </cfRule>
  </conditionalFormatting>
  <conditionalFormatting sqref="T1:AW2 T34:AW34 T19:AW19 T3 V3:W3 Z3:AW3 T4:AW13 AV17 T16:AW16 T14:AU15 T18:AB18 AI18:AW18">
    <cfRule type="expression" dxfId="14" priority="1154">
      <formula>$N$3=$CE$10</formula>
    </cfRule>
  </conditionalFormatting>
  <conditionalFormatting sqref="U9:AF9">
    <cfRule type="cellIs" dxfId="13" priority="14" operator="equal">
      <formula>0</formula>
    </cfRule>
  </conditionalFormatting>
  <conditionalFormatting sqref="U22:AF28">
    <cfRule type="cellIs" dxfId="12" priority="13" operator="equal">
      <formula>0</formula>
    </cfRule>
  </conditionalFormatting>
  <conditionalFormatting sqref="AW15">
    <cfRule type="expression" dxfId="11" priority="12">
      <formula>$E$4=0</formula>
    </cfRule>
  </conditionalFormatting>
  <conditionalFormatting sqref="AV15">
    <cfRule type="expression" dxfId="10" priority="11">
      <formula>$E$4=0</formula>
    </cfRule>
  </conditionalFormatting>
  <conditionalFormatting sqref="L14:O14 L12:O12">
    <cfRule type="expression" dxfId="9" priority="10">
      <formula>$E$4=0</formula>
    </cfRule>
  </conditionalFormatting>
  <conditionalFormatting sqref="L13:O13">
    <cfRule type="expression" dxfId="8" priority="9">
      <formula>$E$4=0</formula>
    </cfRule>
  </conditionalFormatting>
  <conditionalFormatting sqref="L15:O15 N16:N17">
    <cfRule type="expression" dxfId="7" priority="8">
      <formula>$E$4=0</formula>
    </cfRule>
  </conditionalFormatting>
  <conditionalFormatting sqref="L16:M16 O16:O17">
    <cfRule type="expression" dxfId="6" priority="7">
      <formula>$E$4=0</formula>
    </cfRule>
  </conditionalFormatting>
  <conditionalFormatting sqref="O23">
    <cfRule type="expression" dxfId="5" priority="6">
      <formula>$E$4=0</formula>
    </cfRule>
  </conditionalFormatting>
  <conditionalFormatting sqref="O25">
    <cfRule type="expression" dxfId="4" priority="5">
      <formula>$E$4=0</formula>
    </cfRule>
  </conditionalFormatting>
  <conditionalFormatting sqref="O28">
    <cfRule type="expression" dxfId="3" priority="4">
      <formula>$E$4=0</formula>
    </cfRule>
  </conditionalFormatting>
  <conditionalFormatting sqref="O24">
    <cfRule type="expression" dxfId="2" priority="3">
      <formula>$E$4=0</formula>
    </cfRule>
  </conditionalFormatting>
  <conditionalFormatting sqref="L17:M17">
    <cfRule type="expression" dxfId="0" priority="1">
      <formula>$E$4=0</formula>
    </cfRule>
  </conditionalFormatting>
  <dataValidations count="7">
    <dataValidation type="whole" allowBlank="1" showInputMessage="1" showErrorMessage="1" sqref="E9">
      <formula1>1</formula1>
      <formula2>10</formula2>
    </dataValidation>
    <dataValidation type="list" allowBlank="1" showInputMessage="1" showErrorMessage="1" sqref="E5">
      <formula1>$BV$30:$BV$34</formula1>
    </dataValidation>
    <dataValidation type="list" allowBlank="1" showInputMessage="1" showErrorMessage="1" sqref="C18:C22">
      <formula1>$BV$10:$BV$12</formula1>
    </dataValidation>
    <dataValidation type="list" allowBlank="1" showInputMessage="1" showErrorMessage="1" sqref="E7:H7">
      <formula1>$BV$51:$BV$63</formula1>
    </dataValidation>
    <dataValidation type="list" allowBlank="1" showInputMessage="1" showErrorMessage="1" sqref="Z3:AA3">
      <formula1>$CE$21:$CE$28</formula1>
    </dataValidation>
    <dataValidation type="whole" allowBlank="1" showInputMessage="1" showErrorMessage="1" sqref="E6:H6">
      <formula1>0</formula1>
      <formula2>50</formula2>
    </dataValidation>
    <dataValidation type="list" allowBlank="1" showInputMessage="1" showErrorMessage="1" sqref="E8:H8">
      <formula1>$BV$19:$BV$20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1"/>
  </sheetPr>
  <dimension ref="A1:O232"/>
  <sheetViews>
    <sheetView workbookViewId="0">
      <selection activeCell="K2" sqref="K2"/>
    </sheetView>
  </sheetViews>
  <sheetFormatPr defaultColWidth="9.109375" defaultRowHeight="14.4" x14ac:dyDescent="0.3"/>
  <cols>
    <col min="1" max="1" width="1" style="28" customWidth="1"/>
    <col min="2" max="2" width="18.5546875" style="28" customWidth="1"/>
    <col min="3" max="3" width="47.88671875" style="28" hidden="1" customWidth="1"/>
    <col min="4" max="4" width="36" style="222" customWidth="1"/>
    <col min="5" max="5" width="17.109375" style="28" hidden="1" customWidth="1"/>
    <col min="6" max="6" width="23.77734375" style="222" customWidth="1"/>
    <col min="7" max="7" width="16.33203125" style="222" customWidth="1"/>
    <col min="8" max="9" width="13.6640625" style="28" customWidth="1"/>
    <col min="10" max="10" width="13.6640625" style="46" customWidth="1"/>
    <col min="11" max="11" width="18.44140625" style="46" customWidth="1"/>
    <col min="12" max="13" width="12.21875" style="28" hidden="1" customWidth="1"/>
    <col min="14" max="14" width="14.109375" style="28" hidden="1" customWidth="1"/>
    <col min="15" max="15" width="14.6640625" style="28" hidden="1" customWidth="1"/>
    <col min="16" max="16" width="9.109375" style="28" customWidth="1"/>
    <col min="17" max="16384" width="9.109375" style="28"/>
  </cols>
  <sheetData>
    <row r="1" spans="1:15" x14ac:dyDescent="0.3">
      <c r="A1" s="24"/>
      <c r="B1" s="25"/>
      <c r="C1" s="25"/>
      <c r="D1" s="220"/>
      <c r="E1" s="25"/>
      <c r="F1" s="220"/>
      <c r="G1" s="30"/>
      <c r="H1" s="24"/>
      <c r="I1" s="27"/>
      <c r="J1" s="29"/>
      <c r="K1" s="29"/>
    </row>
    <row r="2" spans="1:15" x14ac:dyDescent="0.3">
      <c r="A2" s="24"/>
      <c r="B2" s="25"/>
      <c r="C2" s="25"/>
      <c r="D2" s="220"/>
      <c r="E2" s="25"/>
      <c r="F2" s="220"/>
      <c r="G2" s="30"/>
      <c r="H2" s="30"/>
      <c r="I2" s="31"/>
      <c r="J2" s="31" t="s">
        <v>183</v>
      </c>
      <c r="K2" s="124" t="s">
        <v>185</v>
      </c>
      <c r="N2" s="28" t="s">
        <v>185</v>
      </c>
    </row>
    <row r="3" spans="1:15" x14ac:dyDescent="0.3">
      <c r="A3" s="24"/>
      <c r="B3" s="7"/>
      <c r="C3" s="7"/>
      <c r="D3" s="220"/>
      <c r="E3" s="32"/>
      <c r="F3" s="221"/>
      <c r="G3" s="30"/>
      <c r="H3" s="391" t="s">
        <v>25</v>
      </c>
      <c r="I3" s="390"/>
      <c r="J3" s="390"/>
      <c r="K3" s="122">
        <v>0</v>
      </c>
      <c r="N3" s="28" t="s">
        <v>184</v>
      </c>
    </row>
    <row r="4" spans="1:15" x14ac:dyDescent="0.3">
      <c r="A4" s="24"/>
      <c r="B4" s="7"/>
      <c r="C4" s="7"/>
      <c r="D4" s="220"/>
      <c r="E4" s="32"/>
      <c r="F4" s="221"/>
      <c r="G4" s="30"/>
      <c r="H4" s="29"/>
      <c r="I4" s="29"/>
      <c r="J4" s="29"/>
      <c r="K4" s="33"/>
    </row>
    <row r="5" spans="1:15" s="35" customFormat="1" ht="30" customHeight="1" x14ac:dyDescent="0.25">
      <c r="A5" s="24"/>
      <c r="B5" s="385" t="s">
        <v>514</v>
      </c>
      <c r="C5" s="385"/>
      <c r="D5" s="385" t="s">
        <v>26</v>
      </c>
      <c r="E5" s="389"/>
      <c r="F5" s="180" t="s">
        <v>27</v>
      </c>
      <c r="G5" s="180" t="s">
        <v>28</v>
      </c>
      <c r="H5" s="180" t="s">
        <v>131</v>
      </c>
      <c r="I5" s="180" t="s">
        <v>29</v>
      </c>
      <c r="J5" s="181" t="s">
        <v>187</v>
      </c>
      <c r="K5" s="182" t="s">
        <v>186</v>
      </c>
    </row>
    <row r="6" spans="1:15" s="35" customFormat="1" ht="20.100000000000001" customHeight="1" x14ac:dyDescent="0.25">
      <c r="A6" s="24"/>
      <c r="B6" s="687"/>
      <c r="C6" s="388" t="s">
        <v>2</v>
      </c>
      <c r="D6" s="689" t="s">
        <v>513</v>
      </c>
      <c r="E6" s="701" t="s">
        <v>30</v>
      </c>
      <c r="F6" s="219" t="s">
        <v>270</v>
      </c>
      <c r="G6" s="173" t="s">
        <v>227</v>
      </c>
      <c r="H6" s="697">
        <v>5.4</v>
      </c>
      <c r="I6" s="687" t="s">
        <v>31</v>
      </c>
      <c r="J6" s="162">
        <f>K6-K6*$K$3</f>
        <v>5410.98</v>
      </c>
      <c r="K6" s="161">
        <f t="shared" ref="K6:K39" si="0">IF($K$2=$N$2,N6,O6)</f>
        <v>5410.98</v>
      </c>
      <c r="L6" s="36"/>
      <c r="M6" s="36"/>
      <c r="N6" s="212">
        <v>5410.98</v>
      </c>
      <c r="O6" s="153">
        <f>N6*1.05</f>
        <v>5681.5289999999995</v>
      </c>
    </row>
    <row r="7" spans="1:15" s="35" customFormat="1" ht="20.100000000000001" customHeight="1" x14ac:dyDescent="0.25">
      <c r="A7" s="24"/>
      <c r="B7" s="700"/>
      <c r="C7" s="388" t="s">
        <v>2</v>
      </c>
      <c r="D7" s="696"/>
      <c r="E7" s="701"/>
      <c r="F7" s="219" t="s">
        <v>303</v>
      </c>
      <c r="G7" s="173" t="s">
        <v>132</v>
      </c>
      <c r="H7" s="698"/>
      <c r="I7" s="700"/>
      <c r="J7" s="162">
        <f t="shared" ref="J7:J89" si="1">K7-K7*$K$3</f>
        <v>5840.38</v>
      </c>
      <c r="K7" s="161">
        <f t="shared" si="0"/>
        <v>5840.38</v>
      </c>
      <c r="L7" s="36"/>
      <c r="M7" s="36"/>
      <c r="N7" s="212">
        <v>5840.38</v>
      </c>
      <c r="O7" s="153">
        <f>N7*1.05</f>
        <v>6132.3990000000003</v>
      </c>
    </row>
    <row r="8" spans="1:15" s="35" customFormat="1" ht="20.100000000000001" customHeight="1" x14ac:dyDescent="0.25">
      <c r="A8" s="24"/>
      <c r="B8" s="700"/>
      <c r="C8" s="388" t="s">
        <v>2</v>
      </c>
      <c r="D8" s="696"/>
      <c r="E8" s="701" t="s">
        <v>32</v>
      </c>
      <c r="F8" s="219" t="s">
        <v>291</v>
      </c>
      <c r="G8" s="173" t="s">
        <v>228</v>
      </c>
      <c r="H8" s="698"/>
      <c r="I8" s="700"/>
      <c r="J8" s="162">
        <f t="shared" ref="J8" si="2">K8-K8*$K$3</f>
        <v>6994.45</v>
      </c>
      <c r="K8" s="161">
        <f t="shared" si="0"/>
        <v>6994.45</v>
      </c>
      <c r="L8" s="36"/>
      <c r="M8" s="36"/>
      <c r="N8" s="213">
        <v>6994.45</v>
      </c>
      <c r="O8" s="153">
        <f>N8*1.05</f>
        <v>7344.1724999999997</v>
      </c>
    </row>
    <row r="9" spans="1:15" s="35" customFormat="1" ht="20.100000000000001" customHeight="1" x14ac:dyDescent="0.25">
      <c r="A9" s="24"/>
      <c r="B9" s="700"/>
      <c r="C9" s="388" t="s">
        <v>2</v>
      </c>
      <c r="D9" s="696"/>
      <c r="E9" s="701"/>
      <c r="F9" s="219" t="s">
        <v>276</v>
      </c>
      <c r="G9" s="173" t="s">
        <v>133</v>
      </c>
      <c r="H9" s="698"/>
      <c r="I9" s="700"/>
      <c r="J9" s="162">
        <f t="shared" si="1"/>
        <v>6994.45</v>
      </c>
      <c r="K9" s="161">
        <f t="shared" si="0"/>
        <v>6994.45</v>
      </c>
      <c r="L9" s="36"/>
      <c r="M9" s="36"/>
      <c r="N9" s="154">
        <v>6994.45</v>
      </c>
      <c r="O9" s="165">
        <f t="shared" ref="O9:O18" si="3">N9*1.05</f>
        <v>7344.1724999999997</v>
      </c>
    </row>
    <row r="10" spans="1:15" s="35" customFormat="1" ht="20.100000000000001" customHeight="1" x14ac:dyDescent="0.25">
      <c r="A10" s="24"/>
      <c r="B10" s="700"/>
      <c r="C10" s="388" t="s">
        <v>2</v>
      </c>
      <c r="D10" s="696"/>
      <c r="E10" s="701"/>
      <c r="F10" s="219" t="s">
        <v>281</v>
      </c>
      <c r="G10" s="173" t="s">
        <v>33</v>
      </c>
      <c r="H10" s="698"/>
      <c r="I10" s="700"/>
      <c r="J10" s="162">
        <f t="shared" ref="J10:J11" si="4">K10-K10*$K$3</f>
        <v>6994.45</v>
      </c>
      <c r="K10" s="161">
        <f t="shared" si="0"/>
        <v>6994.45</v>
      </c>
      <c r="L10" s="36"/>
      <c r="M10" s="36"/>
      <c r="N10" s="154">
        <v>6994.45</v>
      </c>
      <c r="O10" s="165">
        <f t="shared" si="3"/>
        <v>7344.1724999999997</v>
      </c>
    </row>
    <row r="11" spans="1:15" s="35" customFormat="1" ht="20.100000000000001" customHeight="1" x14ac:dyDescent="0.25">
      <c r="A11" s="24"/>
      <c r="B11" s="700"/>
      <c r="C11" s="388" t="s">
        <v>2</v>
      </c>
      <c r="D11" s="696"/>
      <c r="E11" s="701"/>
      <c r="F11" s="219" t="s">
        <v>286</v>
      </c>
      <c r="G11" s="173" t="s">
        <v>34</v>
      </c>
      <c r="H11" s="698"/>
      <c r="I11" s="700"/>
      <c r="J11" s="162">
        <f t="shared" si="4"/>
        <v>6994.45</v>
      </c>
      <c r="K11" s="161">
        <f t="shared" si="0"/>
        <v>6994.45</v>
      </c>
      <c r="L11" s="36"/>
      <c r="M11" s="36"/>
      <c r="N11" s="154">
        <v>6994.45</v>
      </c>
      <c r="O11" s="165">
        <f t="shared" si="3"/>
        <v>7344.1724999999997</v>
      </c>
    </row>
    <row r="12" spans="1:15" s="35" customFormat="1" ht="20.100000000000001" customHeight="1" x14ac:dyDescent="0.25">
      <c r="A12" s="24"/>
      <c r="B12" s="700"/>
      <c r="C12" s="388" t="s">
        <v>2</v>
      </c>
      <c r="D12" s="696"/>
      <c r="E12" s="701"/>
      <c r="F12" s="219" t="s">
        <v>295</v>
      </c>
      <c r="G12" s="173" t="s">
        <v>229</v>
      </c>
      <c r="H12" s="698"/>
      <c r="I12" s="700"/>
      <c r="J12" s="162">
        <f t="shared" ref="J12" si="5">K12-K12*$K$3</f>
        <v>6994.45</v>
      </c>
      <c r="K12" s="161">
        <f t="shared" si="0"/>
        <v>6994.45</v>
      </c>
      <c r="L12" s="36"/>
      <c r="M12" s="36"/>
      <c r="N12" s="154">
        <v>6994.45</v>
      </c>
      <c r="O12" s="165">
        <f t="shared" si="3"/>
        <v>7344.1724999999997</v>
      </c>
    </row>
    <row r="13" spans="1:15" s="35" customFormat="1" ht="20.100000000000001" customHeight="1" x14ac:dyDescent="0.25">
      <c r="A13" s="24"/>
      <c r="B13" s="700"/>
      <c r="C13" s="388" t="s">
        <v>2</v>
      </c>
      <c r="D13" s="696"/>
      <c r="E13" s="701"/>
      <c r="F13" s="219" t="s">
        <v>298</v>
      </c>
      <c r="G13" s="173" t="s">
        <v>476</v>
      </c>
      <c r="H13" s="698"/>
      <c r="I13" s="700"/>
      <c r="J13" s="162">
        <f t="shared" ref="J13" si="6">K13-K13*$K$3</f>
        <v>6994.45</v>
      </c>
      <c r="K13" s="161">
        <f t="shared" si="0"/>
        <v>6994.45</v>
      </c>
      <c r="L13" s="36"/>
      <c r="M13" s="36"/>
      <c r="N13" s="154">
        <v>6994.45</v>
      </c>
      <c r="O13" s="165">
        <f t="shared" si="3"/>
        <v>7344.1724999999997</v>
      </c>
    </row>
    <row r="14" spans="1:15" s="35" customFormat="1" ht="20.100000000000001" customHeight="1" x14ac:dyDescent="0.25">
      <c r="A14" s="24"/>
      <c r="B14" s="700"/>
      <c r="C14" s="388" t="s">
        <v>2</v>
      </c>
      <c r="D14" s="696"/>
      <c r="E14" s="383"/>
      <c r="F14" s="219" t="s">
        <v>499</v>
      </c>
      <c r="G14" s="173" t="s">
        <v>474</v>
      </c>
      <c r="H14" s="698"/>
      <c r="I14" s="700"/>
      <c r="J14" s="162">
        <f t="shared" ref="J14:J18" si="7">K14-K14*$K$3</f>
        <v>6994.45</v>
      </c>
      <c r="K14" s="161">
        <f t="shared" si="0"/>
        <v>6994.45</v>
      </c>
      <c r="L14" s="36"/>
      <c r="M14" s="36"/>
      <c r="N14" s="163">
        <v>6994.45</v>
      </c>
      <c r="O14" s="166">
        <f t="shared" si="3"/>
        <v>7344.1724999999997</v>
      </c>
    </row>
    <row r="15" spans="1:15" s="35" customFormat="1" ht="20.100000000000001" customHeight="1" x14ac:dyDescent="0.25">
      <c r="A15" s="24"/>
      <c r="B15" s="700"/>
      <c r="C15" s="388" t="s">
        <v>2</v>
      </c>
      <c r="D15" s="696"/>
      <c r="E15" s="383"/>
      <c r="F15" s="219" t="s">
        <v>480</v>
      </c>
      <c r="G15" s="173" t="s">
        <v>471</v>
      </c>
      <c r="H15" s="698"/>
      <c r="I15" s="700"/>
      <c r="J15" s="162">
        <f t="shared" si="7"/>
        <v>6994.45</v>
      </c>
      <c r="K15" s="161">
        <f t="shared" si="0"/>
        <v>6994.45</v>
      </c>
      <c r="L15" s="36"/>
      <c r="M15" s="36"/>
      <c r="N15" s="163">
        <v>6994.45</v>
      </c>
      <c r="O15" s="166">
        <f t="shared" si="3"/>
        <v>7344.1724999999997</v>
      </c>
    </row>
    <row r="16" spans="1:15" s="35" customFormat="1" ht="20.100000000000001" customHeight="1" x14ac:dyDescent="0.25">
      <c r="A16" s="24"/>
      <c r="B16" s="700"/>
      <c r="C16" s="388" t="s">
        <v>2</v>
      </c>
      <c r="D16" s="696"/>
      <c r="E16" s="383"/>
      <c r="F16" s="219" t="s">
        <v>494</v>
      </c>
      <c r="G16" s="173" t="s">
        <v>475</v>
      </c>
      <c r="H16" s="698"/>
      <c r="I16" s="700"/>
      <c r="J16" s="162">
        <f t="shared" si="7"/>
        <v>6994.45</v>
      </c>
      <c r="K16" s="161">
        <f t="shared" si="0"/>
        <v>6994.45</v>
      </c>
      <c r="L16" s="36"/>
      <c r="M16" s="36"/>
      <c r="N16" s="163">
        <v>6994.45</v>
      </c>
      <c r="O16" s="166">
        <f t="shared" si="3"/>
        <v>7344.1724999999997</v>
      </c>
    </row>
    <row r="17" spans="1:15" s="35" customFormat="1" ht="20.100000000000001" customHeight="1" x14ac:dyDescent="0.25">
      <c r="A17" s="24"/>
      <c r="B17" s="700"/>
      <c r="C17" s="388" t="s">
        <v>2</v>
      </c>
      <c r="D17" s="696"/>
      <c r="E17" s="383"/>
      <c r="F17" s="219" t="s">
        <v>490</v>
      </c>
      <c r="G17" s="173" t="s">
        <v>473</v>
      </c>
      <c r="H17" s="698"/>
      <c r="I17" s="700"/>
      <c r="J17" s="162">
        <f t="shared" si="7"/>
        <v>6994.45</v>
      </c>
      <c r="K17" s="161">
        <f t="shared" si="0"/>
        <v>6994.45</v>
      </c>
      <c r="L17" s="36"/>
      <c r="M17" s="36"/>
      <c r="N17" s="163">
        <v>6994.45</v>
      </c>
      <c r="O17" s="166">
        <f t="shared" si="3"/>
        <v>7344.1724999999997</v>
      </c>
    </row>
    <row r="18" spans="1:15" s="35" customFormat="1" ht="20.100000000000001" customHeight="1" x14ac:dyDescent="0.25">
      <c r="A18" s="24"/>
      <c r="B18" s="688"/>
      <c r="C18" s="388" t="s">
        <v>2</v>
      </c>
      <c r="D18" s="690"/>
      <c r="E18" s="383"/>
      <c r="F18" s="219" t="s">
        <v>486</v>
      </c>
      <c r="G18" s="173" t="s">
        <v>472</v>
      </c>
      <c r="H18" s="699"/>
      <c r="I18" s="688"/>
      <c r="J18" s="162">
        <f t="shared" si="7"/>
        <v>6994.45</v>
      </c>
      <c r="K18" s="161">
        <f t="shared" si="0"/>
        <v>6994.45</v>
      </c>
      <c r="L18" s="36"/>
      <c r="M18" s="36"/>
      <c r="N18" s="163">
        <v>6994.45</v>
      </c>
      <c r="O18" s="166">
        <f t="shared" si="3"/>
        <v>7344.1724999999997</v>
      </c>
    </row>
    <row r="19" spans="1:15" s="35" customFormat="1" ht="20.100000000000001" customHeight="1" x14ac:dyDescent="0.25">
      <c r="A19" s="24"/>
      <c r="B19" s="687"/>
      <c r="C19" s="388" t="s">
        <v>5</v>
      </c>
      <c r="D19" s="689" t="s">
        <v>134</v>
      </c>
      <c r="E19" s="701" t="s">
        <v>35</v>
      </c>
      <c r="F19" s="219" t="s">
        <v>268</v>
      </c>
      <c r="G19" s="173" t="s">
        <v>227</v>
      </c>
      <c r="H19" s="697">
        <v>5.0750000000000002</v>
      </c>
      <c r="I19" s="687" t="s">
        <v>31</v>
      </c>
      <c r="J19" s="162">
        <f t="shared" si="1"/>
        <v>1892.95</v>
      </c>
      <c r="K19" s="161">
        <f t="shared" si="0"/>
        <v>1892.95</v>
      </c>
      <c r="L19" s="36"/>
      <c r="M19" s="36"/>
      <c r="N19" s="212">
        <v>1892.95</v>
      </c>
      <c r="O19" s="153">
        <f>N19*1.05</f>
        <v>1987.5975000000001</v>
      </c>
    </row>
    <row r="20" spans="1:15" s="35" customFormat="1" ht="20.100000000000001" customHeight="1" x14ac:dyDescent="0.25">
      <c r="A20" s="24"/>
      <c r="B20" s="700"/>
      <c r="C20" s="388" t="s">
        <v>5</v>
      </c>
      <c r="D20" s="696"/>
      <c r="E20" s="701"/>
      <c r="F20" s="219" t="s">
        <v>302</v>
      </c>
      <c r="G20" s="173" t="s">
        <v>132</v>
      </c>
      <c r="H20" s="698"/>
      <c r="I20" s="700"/>
      <c r="J20" s="162">
        <f t="shared" si="1"/>
        <v>2043.16</v>
      </c>
      <c r="K20" s="161">
        <f t="shared" si="0"/>
        <v>2043.16</v>
      </c>
      <c r="L20" s="36"/>
      <c r="M20" s="36"/>
      <c r="N20" s="213">
        <v>2043.16</v>
      </c>
      <c r="O20" s="153">
        <f>N20*1.05</f>
        <v>2145.3180000000002</v>
      </c>
    </row>
    <row r="21" spans="1:15" s="35" customFormat="1" ht="20.100000000000001" customHeight="1" x14ac:dyDescent="0.25">
      <c r="A21" s="24"/>
      <c r="B21" s="700"/>
      <c r="C21" s="388" t="s">
        <v>5</v>
      </c>
      <c r="D21" s="696"/>
      <c r="E21" s="701" t="s">
        <v>36</v>
      </c>
      <c r="F21" s="219" t="s">
        <v>290</v>
      </c>
      <c r="G21" s="173" t="s">
        <v>228</v>
      </c>
      <c r="H21" s="698"/>
      <c r="I21" s="700"/>
      <c r="J21" s="162">
        <f t="shared" ref="J21" si="8">K21-K21*$K$3</f>
        <v>2251.71</v>
      </c>
      <c r="K21" s="161">
        <f t="shared" si="0"/>
        <v>2251.71</v>
      </c>
      <c r="L21" s="36"/>
      <c r="M21" s="36"/>
      <c r="N21" s="212">
        <v>2251.71</v>
      </c>
      <c r="O21" s="153">
        <f>N21*1.05</f>
        <v>2364.2955000000002</v>
      </c>
    </row>
    <row r="22" spans="1:15" s="35" customFormat="1" ht="20.100000000000001" customHeight="1" x14ac:dyDescent="0.25">
      <c r="A22" s="24"/>
      <c r="B22" s="700"/>
      <c r="C22" s="388" t="s">
        <v>5</v>
      </c>
      <c r="D22" s="696"/>
      <c r="E22" s="701"/>
      <c r="F22" s="219" t="s">
        <v>275</v>
      </c>
      <c r="G22" s="173" t="s">
        <v>133</v>
      </c>
      <c r="H22" s="698"/>
      <c r="I22" s="700"/>
      <c r="J22" s="162">
        <f t="shared" si="1"/>
        <v>2251.71</v>
      </c>
      <c r="K22" s="161">
        <f t="shared" si="0"/>
        <v>2251.71</v>
      </c>
      <c r="L22" s="36"/>
      <c r="M22" s="36"/>
      <c r="N22" s="217">
        <v>2251.71</v>
      </c>
      <c r="O22" s="166">
        <f t="shared" ref="O22:O89" si="9">N22*1.05</f>
        <v>2364.2955000000002</v>
      </c>
    </row>
    <row r="23" spans="1:15" s="35" customFormat="1" ht="20.100000000000001" customHeight="1" x14ac:dyDescent="0.25">
      <c r="A23" s="24"/>
      <c r="B23" s="700"/>
      <c r="C23" s="388" t="s">
        <v>5</v>
      </c>
      <c r="D23" s="696"/>
      <c r="E23" s="701"/>
      <c r="F23" s="219" t="s">
        <v>280</v>
      </c>
      <c r="G23" s="173" t="s">
        <v>33</v>
      </c>
      <c r="H23" s="698"/>
      <c r="I23" s="700"/>
      <c r="J23" s="162">
        <f t="shared" ref="J23:J26" si="10">K23-K23*$K$3</f>
        <v>2251.71</v>
      </c>
      <c r="K23" s="161">
        <f t="shared" si="0"/>
        <v>2251.71</v>
      </c>
      <c r="L23" s="36"/>
      <c r="M23" s="36"/>
      <c r="N23" s="217">
        <v>2251.71</v>
      </c>
      <c r="O23" s="166">
        <f t="shared" ref="O23:O31" si="11">N23*1.05</f>
        <v>2364.2955000000002</v>
      </c>
    </row>
    <row r="24" spans="1:15" s="35" customFormat="1" ht="20.100000000000001" customHeight="1" x14ac:dyDescent="0.25">
      <c r="A24" s="24"/>
      <c r="B24" s="700"/>
      <c r="C24" s="388" t="s">
        <v>5</v>
      </c>
      <c r="D24" s="696"/>
      <c r="E24" s="701"/>
      <c r="F24" s="219" t="s">
        <v>285</v>
      </c>
      <c r="G24" s="173" t="s">
        <v>34</v>
      </c>
      <c r="H24" s="698"/>
      <c r="I24" s="700"/>
      <c r="J24" s="162">
        <f t="shared" si="10"/>
        <v>2251.71</v>
      </c>
      <c r="K24" s="161">
        <f t="shared" si="0"/>
        <v>2251.71</v>
      </c>
      <c r="L24" s="36"/>
      <c r="M24" s="36"/>
      <c r="N24" s="217">
        <v>2251.71</v>
      </c>
      <c r="O24" s="166">
        <f t="shared" si="11"/>
        <v>2364.2955000000002</v>
      </c>
    </row>
    <row r="25" spans="1:15" s="35" customFormat="1" ht="20.100000000000001" customHeight="1" x14ac:dyDescent="0.25">
      <c r="A25" s="24"/>
      <c r="B25" s="700"/>
      <c r="C25" s="388" t="s">
        <v>5</v>
      </c>
      <c r="D25" s="696"/>
      <c r="E25" s="701"/>
      <c r="F25" s="219" t="s">
        <v>294</v>
      </c>
      <c r="G25" s="173" t="s">
        <v>229</v>
      </c>
      <c r="H25" s="698"/>
      <c r="I25" s="700"/>
      <c r="J25" s="162">
        <f t="shared" si="10"/>
        <v>2251.71</v>
      </c>
      <c r="K25" s="161">
        <f t="shared" si="0"/>
        <v>2251.71</v>
      </c>
      <c r="L25" s="36"/>
      <c r="M25" s="36"/>
      <c r="N25" s="217">
        <v>2251.71</v>
      </c>
      <c r="O25" s="166">
        <f t="shared" si="11"/>
        <v>2364.2955000000002</v>
      </c>
    </row>
    <row r="26" spans="1:15" s="35" customFormat="1" ht="20.100000000000001" customHeight="1" x14ac:dyDescent="0.25">
      <c r="A26" s="24"/>
      <c r="B26" s="700"/>
      <c r="C26" s="388" t="s">
        <v>5</v>
      </c>
      <c r="D26" s="696"/>
      <c r="E26" s="701"/>
      <c r="F26" s="219" t="s">
        <v>297</v>
      </c>
      <c r="G26" s="173" t="s">
        <v>476</v>
      </c>
      <c r="H26" s="698"/>
      <c r="I26" s="700"/>
      <c r="J26" s="162">
        <f t="shared" si="10"/>
        <v>2251.71</v>
      </c>
      <c r="K26" s="161">
        <f t="shared" si="0"/>
        <v>2251.71</v>
      </c>
      <c r="L26" s="36"/>
      <c r="M26" s="36"/>
      <c r="N26" s="217">
        <v>2251.71</v>
      </c>
      <c r="O26" s="166">
        <f t="shared" si="11"/>
        <v>2364.2955000000002</v>
      </c>
    </row>
    <row r="27" spans="1:15" s="35" customFormat="1" ht="20.100000000000001" customHeight="1" x14ac:dyDescent="0.25">
      <c r="A27" s="24"/>
      <c r="B27" s="700"/>
      <c r="C27" s="388" t="s">
        <v>5</v>
      </c>
      <c r="D27" s="696"/>
      <c r="E27" s="383"/>
      <c r="F27" s="219" t="s">
        <v>498</v>
      </c>
      <c r="G27" s="173" t="s">
        <v>474</v>
      </c>
      <c r="H27" s="698"/>
      <c r="I27" s="700"/>
      <c r="J27" s="162">
        <f t="shared" ref="J27:J31" si="12">K27-K27*$K$3</f>
        <v>2251.71</v>
      </c>
      <c r="K27" s="161">
        <f t="shared" si="0"/>
        <v>2251.71</v>
      </c>
      <c r="L27" s="36"/>
      <c r="M27" s="36"/>
      <c r="N27" s="217">
        <v>2251.71</v>
      </c>
      <c r="O27" s="166">
        <f t="shared" si="11"/>
        <v>2364.2955000000002</v>
      </c>
    </row>
    <row r="28" spans="1:15" s="35" customFormat="1" ht="20.100000000000001" customHeight="1" x14ac:dyDescent="0.25">
      <c r="A28" s="24"/>
      <c r="B28" s="700"/>
      <c r="C28" s="388" t="s">
        <v>5</v>
      </c>
      <c r="D28" s="696"/>
      <c r="E28" s="383"/>
      <c r="F28" s="219" t="s">
        <v>479</v>
      </c>
      <c r="G28" s="173" t="s">
        <v>471</v>
      </c>
      <c r="H28" s="698"/>
      <c r="I28" s="700"/>
      <c r="J28" s="162">
        <f t="shared" si="12"/>
        <v>2251.71</v>
      </c>
      <c r="K28" s="161">
        <f t="shared" si="0"/>
        <v>2251.71</v>
      </c>
      <c r="L28" s="36"/>
      <c r="M28" s="36"/>
      <c r="N28" s="217">
        <v>2251.71</v>
      </c>
      <c r="O28" s="166">
        <f t="shared" si="11"/>
        <v>2364.2955000000002</v>
      </c>
    </row>
    <row r="29" spans="1:15" s="35" customFormat="1" ht="20.100000000000001" customHeight="1" x14ac:dyDescent="0.25">
      <c r="A29" s="24"/>
      <c r="B29" s="700"/>
      <c r="C29" s="388" t="s">
        <v>5</v>
      </c>
      <c r="D29" s="696"/>
      <c r="E29" s="383"/>
      <c r="F29" s="219" t="s">
        <v>493</v>
      </c>
      <c r="G29" s="173" t="s">
        <v>475</v>
      </c>
      <c r="H29" s="698"/>
      <c r="I29" s="700"/>
      <c r="J29" s="162">
        <f t="shared" si="12"/>
        <v>2251.71</v>
      </c>
      <c r="K29" s="161">
        <f t="shared" si="0"/>
        <v>2251.71</v>
      </c>
      <c r="L29" s="36"/>
      <c r="M29" s="36"/>
      <c r="N29" s="217">
        <v>2251.71</v>
      </c>
      <c r="O29" s="166">
        <f t="shared" si="11"/>
        <v>2364.2955000000002</v>
      </c>
    </row>
    <row r="30" spans="1:15" s="35" customFormat="1" ht="20.100000000000001" customHeight="1" x14ac:dyDescent="0.25">
      <c r="A30" s="24"/>
      <c r="B30" s="700"/>
      <c r="C30" s="388" t="s">
        <v>5</v>
      </c>
      <c r="D30" s="696"/>
      <c r="E30" s="383"/>
      <c r="F30" s="219" t="s">
        <v>489</v>
      </c>
      <c r="G30" s="173" t="s">
        <v>473</v>
      </c>
      <c r="H30" s="698"/>
      <c r="I30" s="700"/>
      <c r="J30" s="162">
        <f t="shared" si="12"/>
        <v>2251.71</v>
      </c>
      <c r="K30" s="161">
        <f t="shared" si="0"/>
        <v>2251.71</v>
      </c>
      <c r="L30" s="36"/>
      <c r="M30" s="36"/>
      <c r="N30" s="217">
        <v>2251.71</v>
      </c>
      <c r="O30" s="166">
        <f t="shared" si="11"/>
        <v>2364.2955000000002</v>
      </c>
    </row>
    <row r="31" spans="1:15" s="35" customFormat="1" ht="20.100000000000001" customHeight="1" x14ac:dyDescent="0.25">
      <c r="A31" s="24"/>
      <c r="B31" s="688"/>
      <c r="C31" s="388" t="s">
        <v>5</v>
      </c>
      <c r="D31" s="690"/>
      <c r="E31" s="383"/>
      <c r="F31" s="219" t="s">
        <v>485</v>
      </c>
      <c r="G31" s="173" t="s">
        <v>472</v>
      </c>
      <c r="H31" s="699"/>
      <c r="I31" s="688"/>
      <c r="J31" s="162">
        <f t="shared" si="12"/>
        <v>2251.71</v>
      </c>
      <c r="K31" s="161">
        <f t="shared" si="0"/>
        <v>2251.71</v>
      </c>
      <c r="L31" s="36"/>
      <c r="M31" s="36"/>
      <c r="N31" s="217">
        <v>2251.71</v>
      </c>
      <c r="O31" s="166">
        <f t="shared" si="11"/>
        <v>2364.2955000000002</v>
      </c>
    </row>
    <row r="32" spans="1:15" s="35" customFormat="1" ht="20.100000000000001" customHeight="1" x14ac:dyDescent="0.25">
      <c r="A32" s="24"/>
      <c r="B32" s="692"/>
      <c r="C32" s="384" t="s">
        <v>4</v>
      </c>
      <c r="D32" s="702" t="s">
        <v>135</v>
      </c>
      <c r="E32" s="701" t="s">
        <v>30</v>
      </c>
      <c r="F32" s="219" t="s">
        <v>269</v>
      </c>
      <c r="G32" s="173" t="s">
        <v>227</v>
      </c>
      <c r="H32" s="691">
        <v>5</v>
      </c>
      <c r="I32" s="692" t="s">
        <v>31</v>
      </c>
      <c r="J32" s="162">
        <f t="shared" si="1"/>
        <v>5816.07</v>
      </c>
      <c r="K32" s="161">
        <f t="shared" si="0"/>
        <v>5816.07</v>
      </c>
      <c r="L32" s="36"/>
      <c r="M32" s="36"/>
      <c r="N32" s="212">
        <v>5816.07</v>
      </c>
      <c r="O32" s="153">
        <f t="shared" si="9"/>
        <v>6106.8734999999997</v>
      </c>
    </row>
    <row r="33" spans="1:15" s="35" customFormat="1" ht="20.100000000000001" customHeight="1" x14ac:dyDescent="0.25">
      <c r="A33" s="24"/>
      <c r="B33" s="692"/>
      <c r="C33" s="384" t="s">
        <v>4</v>
      </c>
      <c r="D33" s="702"/>
      <c r="E33" s="701"/>
      <c r="F33" s="219" t="s">
        <v>416</v>
      </c>
      <c r="G33" s="173" t="s">
        <v>132</v>
      </c>
      <c r="H33" s="691"/>
      <c r="I33" s="692"/>
      <c r="J33" s="162">
        <f t="shared" si="1"/>
        <v>6096.53</v>
      </c>
      <c r="K33" s="161">
        <f t="shared" si="0"/>
        <v>6096.53</v>
      </c>
      <c r="L33" s="36"/>
      <c r="M33" s="36"/>
      <c r="N33" s="212">
        <v>6096.53</v>
      </c>
      <c r="O33" s="153">
        <f t="shared" si="9"/>
        <v>6401.3564999999999</v>
      </c>
    </row>
    <row r="34" spans="1:15" s="35" customFormat="1" ht="20.100000000000001" customHeight="1" x14ac:dyDescent="0.25">
      <c r="A34" s="24"/>
      <c r="B34" s="687"/>
      <c r="C34" s="460" t="s">
        <v>528</v>
      </c>
      <c r="D34" s="689" t="s">
        <v>529</v>
      </c>
      <c r="E34" s="459"/>
      <c r="F34" s="219" t="s">
        <v>530</v>
      </c>
      <c r="G34" s="173" t="s">
        <v>227</v>
      </c>
      <c r="H34" s="691">
        <v>5</v>
      </c>
      <c r="I34" s="692" t="s">
        <v>31</v>
      </c>
      <c r="J34" s="162">
        <f t="shared" si="1"/>
        <v>992.25</v>
      </c>
      <c r="K34" s="161">
        <f t="shared" si="0"/>
        <v>992.25</v>
      </c>
      <c r="L34" s="36"/>
      <c r="M34" s="36"/>
      <c r="N34" s="212">
        <v>992.25</v>
      </c>
      <c r="O34" s="161">
        <f t="shared" si="9"/>
        <v>1041.8625</v>
      </c>
    </row>
    <row r="35" spans="1:15" s="35" customFormat="1" ht="20.100000000000001" customHeight="1" x14ac:dyDescent="0.25">
      <c r="A35" s="24"/>
      <c r="B35" s="688"/>
      <c r="C35" s="460" t="s">
        <v>528</v>
      </c>
      <c r="D35" s="690"/>
      <c r="E35" s="459"/>
      <c r="F35" s="219" t="s">
        <v>531</v>
      </c>
      <c r="G35" s="173" t="s">
        <v>132</v>
      </c>
      <c r="H35" s="691"/>
      <c r="I35" s="692"/>
      <c r="J35" s="162">
        <f t="shared" ref="J35" si="13">K35-K35*$K$3</f>
        <v>909.56</v>
      </c>
      <c r="K35" s="161">
        <f t="shared" ref="K35" si="14">IF($K$2=$N$2,N35,O35)</f>
        <v>909.56</v>
      </c>
      <c r="L35" s="36"/>
      <c r="M35" s="36"/>
      <c r="N35" s="212">
        <v>909.56</v>
      </c>
      <c r="O35" s="161">
        <f t="shared" si="9"/>
        <v>955.03800000000001</v>
      </c>
    </row>
    <row r="36" spans="1:15" s="35" customFormat="1" ht="20.100000000000001" customHeight="1" x14ac:dyDescent="0.25">
      <c r="A36" s="24"/>
      <c r="B36" s="692"/>
      <c r="C36" s="384" t="s">
        <v>17</v>
      </c>
      <c r="D36" s="702" t="s">
        <v>325</v>
      </c>
      <c r="E36" s="701" t="s">
        <v>30</v>
      </c>
      <c r="F36" s="219" t="s">
        <v>271</v>
      </c>
      <c r="G36" s="173" t="s">
        <v>227</v>
      </c>
      <c r="H36" s="691">
        <v>5.4</v>
      </c>
      <c r="I36" s="692" t="s">
        <v>31</v>
      </c>
      <c r="J36" s="162">
        <f t="shared" si="1"/>
        <v>1331.09</v>
      </c>
      <c r="K36" s="161">
        <f t="shared" si="0"/>
        <v>1331.09</v>
      </c>
      <c r="L36" s="36"/>
      <c r="M36" s="36"/>
      <c r="N36" s="212">
        <v>1331.09</v>
      </c>
      <c r="O36" s="153">
        <f t="shared" si="9"/>
        <v>1397.6444999999999</v>
      </c>
    </row>
    <row r="37" spans="1:15" s="35" customFormat="1" ht="20.100000000000001" customHeight="1" x14ac:dyDescent="0.25">
      <c r="A37" s="24"/>
      <c r="B37" s="692"/>
      <c r="C37" s="384" t="s">
        <v>17</v>
      </c>
      <c r="D37" s="702"/>
      <c r="E37" s="701"/>
      <c r="F37" s="219" t="s">
        <v>304</v>
      </c>
      <c r="G37" s="173" t="s">
        <v>132</v>
      </c>
      <c r="H37" s="691"/>
      <c r="I37" s="692"/>
      <c r="J37" s="174">
        <f t="shared" si="1"/>
        <v>1440.37</v>
      </c>
      <c r="K37" s="161">
        <f t="shared" si="0"/>
        <v>1440.37</v>
      </c>
      <c r="L37" s="36"/>
      <c r="M37" s="36"/>
      <c r="N37" s="212">
        <v>1440.37</v>
      </c>
      <c r="O37" s="153">
        <f t="shared" si="9"/>
        <v>1512.3885</v>
      </c>
    </row>
    <row r="38" spans="1:15" s="35" customFormat="1" ht="20.100000000000001" customHeight="1" x14ac:dyDescent="0.25">
      <c r="A38" s="24"/>
      <c r="B38" s="692"/>
      <c r="C38" s="384" t="s">
        <v>17</v>
      </c>
      <c r="D38" s="702"/>
      <c r="E38" s="701"/>
      <c r="F38" s="219" t="s">
        <v>277</v>
      </c>
      <c r="G38" s="173" t="s">
        <v>133</v>
      </c>
      <c r="H38" s="691"/>
      <c r="I38" s="692"/>
      <c r="J38" s="174">
        <f t="shared" si="1"/>
        <v>1515.05</v>
      </c>
      <c r="K38" s="161">
        <f t="shared" si="0"/>
        <v>1515.05</v>
      </c>
      <c r="L38" s="36"/>
      <c r="M38" s="36"/>
      <c r="N38" s="213">
        <v>1515.05</v>
      </c>
      <c r="O38" s="153">
        <f t="shared" si="9"/>
        <v>1590.8025</v>
      </c>
    </row>
    <row r="39" spans="1:15" s="35" customFormat="1" ht="20.100000000000001" customHeight="1" x14ac:dyDescent="0.25">
      <c r="A39" s="24"/>
      <c r="B39" s="692"/>
      <c r="C39" s="384" t="s">
        <v>3</v>
      </c>
      <c r="D39" s="702" t="s">
        <v>37</v>
      </c>
      <c r="E39" s="701" t="s">
        <v>30</v>
      </c>
      <c r="F39" s="219" t="s">
        <v>273</v>
      </c>
      <c r="G39" s="173" t="s">
        <v>227</v>
      </c>
      <c r="H39" s="691">
        <v>5</v>
      </c>
      <c r="I39" s="692" t="s">
        <v>31</v>
      </c>
      <c r="J39" s="162">
        <f t="shared" si="1"/>
        <v>3267.15</v>
      </c>
      <c r="K39" s="161">
        <f t="shared" si="0"/>
        <v>3267.15</v>
      </c>
      <c r="L39" s="36"/>
      <c r="M39" s="36"/>
      <c r="N39" s="212">
        <v>3267.15</v>
      </c>
      <c r="O39" s="153">
        <f t="shared" si="9"/>
        <v>3430.5075000000002</v>
      </c>
    </row>
    <row r="40" spans="1:15" s="35" customFormat="1" ht="20.100000000000001" customHeight="1" x14ac:dyDescent="0.25">
      <c r="A40" s="24"/>
      <c r="B40" s="692"/>
      <c r="C40" s="384" t="s">
        <v>3</v>
      </c>
      <c r="D40" s="702"/>
      <c r="E40" s="701"/>
      <c r="F40" s="219" t="s">
        <v>306</v>
      </c>
      <c r="G40" s="173" t="s">
        <v>132</v>
      </c>
      <c r="H40" s="691"/>
      <c r="I40" s="692"/>
      <c r="J40" s="162">
        <f t="shared" si="1"/>
        <v>3524.86</v>
      </c>
      <c r="K40" s="161">
        <f t="shared" ref="K40:K71" si="15">IF($K$2=$N$2,N40,O40)</f>
        <v>3524.86</v>
      </c>
      <c r="L40" s="36"/>
      <c r="M40" s="36"/>
      <c r="N40" s="212">
        <v>3524.86</v>
      </c>
      <c r="O40" s="153">
        <f t="shared" si="9"/>
        <v>3701.1030000000001</v>
      </c>
    </row>
    <row r="41" spans="1:15" s="35" customFormat="1" ht="20.100000000000001" customHeight="1" x14ac:dyDescent="0.25">
      <c r="A41" s="24"/>
      <c r="B41" s="692"/>
      <c r="C41" s="384" t="s">
        <v>3</v>
      </c>
      <c r="D41" s="702"/>
      <c r="E41" s="701" t="s">
        <v>32</v>
      </c>
      <c r="F41" s="219" t="s">
        <v>292</v>
      </c>
      <c r="G41" s="173" t="s">
        <v>228</v>
      </c>
      <c r="H41" s="691"/>
      <c r="I41" s="692"/>
      <c r="J41" s="162">
        <f t="shared" si="1"/>
        <v>4500.87</v>
      </c>
      <c r="K41" s="161">
        <f t="shared" si="15"/>
        <v>4500.87</v>
      </c>
      <c r="L41" s="36"/>
      <c r="M41" s="36"/>
      <c r="N41" s="213">
        <v>4500.87</v>
      </c>
      <c r="O41" s="153">
        <f t="shared" si="9"/>
        <v>4725.9134999999997</v>
      </c>
    </row>
    <row r="42" spans="1:15" s="35" customFormat="1" ht="20.100000000000001" customHeight="1" x14ac:dyDescent="0.25">
      <c r="A42" s="24"/>
      <c r="B42" s="692"/>
      <c r="C42" s="384" t="s">
        <v>3</v>
      </c>
      <c r="D42" s="702"/>
      <c r="E42" s="701"/>
      <c r="F42" s="219" t="s">
        <v>484</v>
      </c>
      <c r="G42" s="173" t="s">
        <v>133</v>
      </c>
      <c r="H42" s="691"/>
      <c r="I42" s="692"/>
      <c r="J42" s="162">
        <f t="shared" si="1"/>
        <v>4500.87</v>
      </c>
      <c r="K42" s="161">
        <f t="shared" si="15"/>
        <v>4500.87</v>
      </c>
      <c r="L42" s="36"/>
      <c r="M42" s="36"/>
      <c r="N42" s="217">
        <v>4500.87</v>
      </c>
      <c r="O42" s="166">
        <f t="shared" si="9"/>
        <v>4725.9134999999997</v>
      </c>
    </row>
    <row r="43" spans="1:15" s="35" customFormat="1" ht="20.100000000000001" customHeight="1" x14ac:dyDescent="0.25">
      <c r="A43" s="24"/>
      <c r="B43" s="692"/>
      <c r="C43" s="384" t="s">
        <v>3</v>
      </c>
      <c r="D43" s="702"/>
      <c r="E43" s="701"/>
      <c r="F43" s="219" t="s">
        <v>283</v>
      </c>
      <c r="G43" s="173" t="s">
        <v>33</v>
      </c>
      <c r="H43" s="691"/>
      <c r="I43" s="692"/>
      <c r="J43" s="162">
        <f t="shared" ref="J43:J45" si="16">K43-K43*$K$3</f>
        <v>4500.87</v>
      </c>
      <c r="K43" s="161">
        <f t="shared" si="15"/>
        <v>4500.87</v>
      </c>
      <c r="L43" s="36"/>
      <c r="M43" s="36"/>
      <c r="N43" s="217">
        <v>4500.87</v>
      </c>
      <c r="O43" s="166">
        <f t="shared" ref="O43:O45" si="17">N43*1.05</f>
        <v>4725.9134999999997</v>
      </c>
    </row>
    <row r="44" spans="1:15" s="35" customFormat="1" ht="20.100000000000001" customHeight="1" x14ac:dyDescent="0.25">
      <c r="A44" s="24"/>
      <c r="B44" s="692"/>
      <c r="C44" s="384" t="s">
        <v>3</v>
      </c>
      <c r="D44" s="702"/>
      <c r="E44" s="701"/>
      <c r="F44" s="219" t="s">
        <v>288</v>
      </c>
      <c r="G44" s="173" t="s">
        <v>34</v>
      </c>
      <c r="H44" s="691"/>
      <c r="I44" s="692"/>
      <c r="J44" s="162">
        <f t="shared" si="16"/>
        <v>4500.87</v>
      </c>
      <c r="K44" s="161">
        <f t="shared" si="15"/>
        <v>4500.87</v>
      </c>
      <c r="L44" s="36"/>
      <c r="M44" s="36"/>
      <c r="N44" s="217">
        <v>4500.87</v>
      </c>
      <c r="O44" s="166">
        <f t="shared" si="17"/>
        <v>4725.9134999999997</v>
      </c>
    </row>
    <row r="45" spans="1:15" s="35" customFormat="1" ht="20.100000000000001" customHeight="1" x14ac:dyDescent="0.25">
      <c r="A45" s="24"/>
      <c r="B45" s="692"/>
      <c r="C45" s="384" t="s">
        <v>3</v>
      </c>
      <c r="D45" s="702"/>
      <c r="E45" s="701"/>
      <c r="F45" s="219" t="s">
        <v>477</v>
      </c>
      <c r="G45" s="173" t="s">
        <v>229</v>
      </c>
      <c r="H45" s="691"/>
      <c r="I45" s="692"/>
      <c r="J45" s="162">
        <f t="shared" si="16"/>
        <v>4500.87</v>
      </c>
      <c r="K45" s="161">
        <f t="shared" si="15"/>
        <v>4500.87</v>
      </c>
      <c r="L45" s="36"/>
      <c r="M45" s="36"/>
      <c r="N45" s="217">
        <v>4500.87</v>
      </c>
      <c r="O45" s="166">
        <f t="shared" si="17"/>
        <v>4725.9134999999997</v>
      </c>
    </row>
    <row r="46" spans="1:15" s="35" customFormat="1" ht="20.100000000000001" customHeight="1" x14ac:dyDescent="0.25">
      <c r="A46" s="24"/>
      <c r="B46" s="692"/>
      <c r="C46" s="384" t="s">
        <v>3</v>
      </c>
      <c r="D46" s="702"/>
      <c r="E46" s="701"/>
      <c r="F46" s="219" t="s">
        <v>300</v>
      </c>
      <c r="G46" s="173" t="s">
        <v>476</v>
      </c>
      <c r="H46" s="691"/>
      <c r="I46" s="692"/>
      <c r="J46" s="162">
        <f>K46-K46*$K$3</f>
        <v>4500.87</v>
      </c>
      <c r="K46" s="161">
        <f t="shared" si="15"/>
        <v>4500.87</v>
      </c>
      <c r="L46" s="36"/>
      <c r="M46" s="36"/>
      <c r="N46" s="217">
        <v>4500.87</v>
      </c>
      <c r="O46" s="166">
        <f>N46*1.05</f>
        <v>4725.9134999999997</v>
      </c>
    </row>
    <row r="47" spans="1:15" s="35" customFormat="1" ht="20.100000000000001" customHeight="1" x14ac:dyDescent="0.25">
      <c r="A47" s="24"/>
      <c r="B47" s="692"/>
      <c r="C47" s="384" t="s">
        <v>3</v>
      </c>
      <c r="D47" s="702"/>
      <c r="E47" s="701"/>
      <c r="F47" s="219" t="s">
        <v>500</v>
      </c>
      <c r="G47" s="173" t="s">
        <v>474</v>
      </c>
      <c r="H47" s="691"/>
      <c r="I47" s="692"/>
      <c r="J47" s="162">
        <f t="shared" ref="J47:J51" si="18">K47-K47*$K$3</f>
        <v>4500.87</v>
      </c>
      <c r="K47" s="161">
        <f t="shared" si="15"/>
        <v>4500.87</v>
      </c>
      <c r="L47" s="36"/>
      <c r="M47" s="36"/>
      <c r="N47" s="217">
        <v>4500.87</v>
      </c>
      <c r="O47" s="166">
        <f t="shared" ref="O47:O51" si="19">N47*1.05</f>
        <v>4725.9134999999997</v>
      </c>
    </row>
    <row r="48" spans="1:15" s="35" customFormat="1" ht="20.100000000000001" customHeight="1" x14ac:dyDescent="0.25">
      <c r="A48" s="24"/>
      <c r="B48" s="692"/>
      <c r="C48" s="384" t="s">
        <v>3</v>
      </c>
      <c r="D48" s="702"/>
      <c r="E48" s="701"/>
      <c r="F48" s="219" t="s">
        <v>482</v>
      </c>
      <c r="G48" s="173" t="s">
        <v>471</v>
      </c>
      <c r="H48" s="691"/>
      <c r="I48" s="692"/>
      <c r="J48" s="162">
        <f t="shared" si="18"/>
        <v>4500.87</v>
      </c>
      <c r="K48" s="161">
        <f t="shared" si="15"/>
        <v>4500.87</v>
      </c>
      <c r="L48" s="36"/>
      <c r="M48" s="36"/>
      <c r="N48" s="217">
        <v>4500.87</v>
      </c>
      <c r="O48" s="166">
        <f t="shared" si="19"/>
        <v>4725.9134999999997</v>
      </c>
    </row>
    <row r="49" spans="1:15" s="35" customFormat="1" ht="20.100000000000001" customHeight="1" x14ac:dyDescent="0.25">
      <c r="A49" s="24"/>
      <c r="B49" s="692"/>
      <c r="C49" s="384" t="s">
        <v>3</v>
      </c>
      <c r="D49" s="702"/>
      <c r="E49" s="701"/>
      <c r="F49" s="219" t="s">
        <v>496</v>
      </c>
      <c r="G49" s="173" t="s">
        <v>475</v>
      </c>
      <c r="H49" s="691"/>
      <c r="I49" s="692"/>
      <c r="J49" s="162">
        <f t="shared" si="18"/>
        <v>4500.87</v>
      </c>
      <c r="K49" s="161">
        <f t="shared" si="15"/>
        <v>4500.87</v>
      </c>
      <c r="L49" s="36"/>
      <c r="M49" s="36"/>
      <c r="N49" s="217">
        <v>4500.87</v>
      </c>
      <c r="O49" s="166">
        <f t="shared" si="19"/>
        <v>4725.9134999999997</v>
      </c>
    </row>
    <row r="50" spans="1:15" s="35" customFormat="1" ht="20.100000000000001" customHeight="1" x14ac:dyDescent="0.25">
      <c r="A50" s="24"/>
      <c r="B50" s="692"/>
      <c r="C50" s="384" t="s">
        <v>3</v>
      </c>
      <c r="D50" s="702"/>
      <c r="E50" s="701"/>
      <c r="F50" s="219" t="s">
        <v>491</v>
      </c>
      <c r="G50" s="173" t="s">
        <v>473</v>
      </c>
      <c r="H50" s="691"/>
      <c r="I50" s="692"/>
      <c r="J50" s="162">
        <f t="shared" si="18"/>
        <v>4500.87</v>
      </c>
      <c r="K50" s="161">
        <f t="shared" si="15"/>
        <v>4500.87</v>
      </c>
      <c r="L50" s="36"/>
      <c r="M50" s="36"/>
      <c r="N50" s="217">
        <v>4500.87</v>
      </c>
      <c r="O50" s="166">
        <f t="shared" si="19"/>
        <v>4725.9134999999997</v>
      </c>
    </row>
    <row r="51" spans="1:15" s="35" customFormat="1" ht="20.100000000000001" customHeight="1" x14ac:dyDescent="0.25">
      <c r="A51" s="24"/>
      <c r="B51" s="692"/>
      <c r="C51" s="384" t="s">
        <v>3</v>
      </c>
      <c r="D51" s="702"/>
      <c r="E51" s="701"/>
      <c r="F51" s="387" t="s">
        <v>487</v>
      </c>
      <c r="G51" s="173" t="s">
        <v>472</v>
      </c>
      <c r="H51" s="691"/>
      <c r="I51" s="692"/>
      <c r="J51" s="162">
        <f t="shared" si="18"/>
        <v>4500.87</v>
      </c>
      <c r="K51" s="161">
        <f t="shared" si="15"/>
        <v>4500.87</v>
      </c>
      <c r="L51" s="36"/>
      <c r="M51" s="36"/>
      <c r="N51" s="387">
        <v>4500.87</v>
      </c>
      <c r="O51" s="166">
        <f t="shared" si="19"/>
        <v>4725.9134999999997</v>
      </c>
    </row>
    <row r="52" spans="1:15" s="35" customFormat="1" ht="20.100000000000001" customHeight="1" x14ac:dyDescent="0.25">
      <c r="A52" s="24"/>
      <c r="B52" s="692"/>
      <c r="C52" s="384" t="s">
        <v>452</v>
      </c>
      <c r="D52" s="702" t="s">
        <v>239</v>
      </c>
      <c r="E52" s="701" t="s">
        <v>30</v>
      </c>
      <c r="F52" s="219" t="s">
        <v>274</v>
      </c>
      <c r="G52" s="173" t="s">
        <v>227</v>
      </c>
      <c r="H52" s="691">
        <v>5</v>
      </c>
      <c r="I52" s="692" t="s">
        <v>31</v>
      </c>
      <c r="J52" s="162">
        <f t="shared" si="1"/>
        <v>3828.23</v>
      </c>
      <c r="K52" s="161">
        <f t="shared" si="15"/>
        <v>3828.23</v>
      </c>
      <c r="L52" s="36"/>
      <c r="M52" s="36"/>
      <c r="N52" s="212">
        <v>3828.23</v>
      </c>
      <c r="O52" s="153">
        <f t="shared" si="9"/>
        <v>4019.6415000000002</v>
      </c>
    </row>
    <row r="53" spans="1:15" s="35" customFormat="1" ht="20.100000000000001" customHeight="1" x14ac:dyDescent="0.25">
      <c r="A53" s="24"/>
      <c r="B53" s="692"/>
      <c r="C53" s="384" t="s">
        <v>452</v>
      </c>
      <c r="D53" s="702"/>
      <c r="E53" s="701"/>
      <c r="F53" s="219" t="s">
        <v>307</v>
      </c>
      <c r="G53" s="173" t="s">
        <v>132</v>
      </c>
      <c r="H53" s="691"/>
      <c r="I53" s="692"/>
      <c r="J53" s="162">
        <f t="shared" si="1"/>
        <v>4119.82</v>
      </c>
      <c r="K53" s="161">
        <f t="shared" si="15"/>
        <v>4119.82</v>
      </c>
      <c r="L53" s="36"/>
      <c r="M53" s="36"/>
      <c r="N53" s="212">
        <v>4119.82</v>
      </c>
      <c r="O53" s="153">
        <f t="shared" si="9"/>
        <v>4325.8109999999997</v>
      </c>
    </row>
    <row r="54" spans="1:15" s="35" customFormat="1" ht="20.100000000000001" customHeight="1" x14ac:dyDescent="0.25">
      <c r="A54" s="24"/>
      <c r="B54" s="692"/>
      <c r="C54" s="384" t="s">
        <v>452</v>
      </c>
      <c r="D54" s="702"/>
      <c r="E54" s="701" t="s">
        <v>32</v>
      </c>
      <c r="F54" s="219" t="s">
        <v>293</v>
      </c>
      <c r="G54" s="173" t="s">
        <v>228</v>
      </c>
      <c r="H54" s="691"/>
      <c r="I54" s="692"/>
      <c r="J54" s="162">
        <f t="shared" ref="J54" si="20">K54-K54*$K$3</f>
        <v>5512.44</v>
      </c>
      <c r="K54" s="161">
        <f t="shared" si="15"/>
        <v>5512.44</v>
      </c>
      <c r="L54" s="36"/>
      <c r="M54" s="36"/>
      <c r="N54" s="213">
        <v>5512.44</v>
      </c>
      <c r="O54" s="153">
        <f t="shared" si="9"/>
        <v>5788.0619999999999</v>
      </c>
    </row>
    <row r="55" spans="1:15" s="35" customFormat="1" ht="20.100000000000001" customHeight="1" x14ac:dyDescent="0.25">
      <c r="A55" s="24"/>
      <c r="B55" s="692"/>
      <c r="C55" s="384" t="s">
        <v>452</v>
      </c>
      <c r="D55" s="702"/>
      <c r="E55" s="701"/>
      <c r="F55" s="219" t="s">
        <v>279</v>
      </c>
      <c r="G55" s="173" t="s">
        <v>133</v>
      </c>
      <c r="H55" s="691"/>
      <c r="I55" s="692"/>
      <c r="J55" s="162">
        <f t="shared" si="1"/>
        <v>5512.44</v>
      </c>
      <c r="K55" s="161">
        <f t="shared" si="15"/>
        <v>5512.44</v>
      </c>
      <c r="L55" s="36"/>
      <c r="M55" s="36"/>
      <c r="N55" s="217">
        <v>5512.44</v>
      </c>
      <c r="O55" s="166">
        <f t="shared" si="9"/>
        <v>5788.0619999999999</v>
      </c>
    </row>
    <row r="56" spans="1:15" s="35" customFormat="1" ht="20.100000000000001" customHeight="1" x14ac:dyDescent="0.25">
      <c r="A56" s="24"/>
      <c r="B56" s="692"/>
      <c r="C56" s="384" t="s">
        <v>452</v>
      </c>
      <c r="D56" s="702"/>
      <c r="E56" s="701"/>
      <c r="F56" s="219" t="s">
        <v>284</v>
      </c>
      <c r="G56" s="173" t="s">
        <v>33</v>
      </c>
      <c r="H56" s="691"/>
      <c r="I56" s="692"/>
      <c r="J56" s="162">
        <f t="shared" ref="J56:J58" si="21">K56-K56*$K$3</f>
        <v>5512.44</v>
      </c>
      <c r="K56" s="161">
        <f t="shared" si="15"/>
        <v>5512.44</v>
      </c>
      <c r="L56" s="36"/>
      <c r="M56" s="36"/>
      <c r="N56" s="217">
        <v>5512.44</v>
      </c>
      <c r="O56" s="166">
        <f t="shared" ref="O56:O58" si="22">N56*1.05</f>
        <v>5788.0619999999999</v>
      </c>
    </row>
    <row r="57" spans="1:15" s="35" customFormat="1" ht="20.100000000000001" customHeight="1" x14ac:dyDescent="0.25">
      <c r="A57" s="24"/>
      <c r="B57" s="692"/>
      <c r="C57" s="384" t="s">
        <v>452</v>
      </c>
      <c r="D57" s="702"/>
      <c r="E57" s="701"/>
      <c r="F57" s="219" t="s">
        <v>289</v>
      </c>
      <c r="G57" s="173" t="s">
        <v>34</v>
      </c>
      <c r="H57" s="691"/>
      <c r="I57" s="692"/>
      <c r="J57" s="162">
        <f t="shared" si="21"/>
        <v>5512.44</v>
      </c>
      <c r="K57" s="161">
        <f t="shared" si="15"/>
        <v>5512.44</v>
      </c>
      <c r="L57" s="36"/>
      <c r="M57" s="36"/>
      <c r="N57" s="217">
        <v>5512.44</v>
      </c>
      <c r="O57" s="166">
        <f t="shared" si="22"/>
        <v>5788.0619999999999</v>
      </c>
    </row>
    <row r="58" spans="1:15" s="35" customFormat="1" ht="20.100000000000001" customHeight="1" x14ac:dyDescent="0.25">
      <c r="A58" s="24"/>
      <c r="B58" s="692"/>
      <c r="C58" s="384" t="s">
        <v>452</v>
      </c>
      <c r="D58" s="702"/>
      <c r="E58" s="701"/>
      <c r="F58" s="219" t="s">
        <v>478</v>
      </c>
      <c r="G58" s="173" t="s">
        <v>229</v>
      </c>
      <c r="H58" s="691"/>
      <c r="I58" s="692"/>
      <c r="J58" s="162">
        <f t="shared" si="21"/>
        <v>5512.44</v>
      </c>
      <c r="K58" s="161">
        <f t="shared" si="15"/>
        <v>5512.44</v>
      </c>
      <c r="L58" s="36"/>
      <c r="M58" s="36"/>
      <c r="N58" s="217">
        <v>5512.44</v>
      </c>
      <c r="O58" s="166">
        <f t="shared" si="22"/>
        <v>5788.0619999999999</v>
      </c>
    </row>
    <row r="59" spans="1:15" s="35" customFormat="1" ht="20.100000000000001" customHeight="1" x14ac:dyDescent="0.25">
      <c r="A59" s="24"/>
      <c r="B59" s="692"/>
      <c r="C59" s="384" t="s">
        <v>452</v>
      </c>
      <c r="D59" s="702"/>
      <c r="E59" s="701"/>
      <c r="F59" s="219" t="s">
        <v>301</v>
      </c>
      <c r="G59" s="173" t="s">
        <v>476</v>
      </c>
      <c r="H59" s="691"/>
      <c r="I59" s="692"/>
      <c r="J59" s="162">
        <f>K59-K59*$K$3</f>
        <v>5512.44</v>
      </c>
      <c r="K59" s="161">
        <f t="shared" si="15"/>
        <v>5512.44</v>
      </c>
      <c r="L59" s="36"/>
      <c r="M59" s="36"/>
      <c r="N59" s="217">
        <v>5512.44</v>
      </c>
      <c r="O59" s="166">
        <f>N59*1.05</f>
        <v>5788.0619999999999</v>
      </c>
    </row>
    <row r="60" spans="1:15" s="35" customFormat="1" ht="20.100000000000001" customHeight="1" x14ac:dyDescent="0.25">
      <c r="A60" s="24"/>
      <c r="B60" s="692"/>
      <c r="C60" s="384" t="s">
        <v>452</v>
      </c>
      <c r="D60" s="702"/>
      <c r="E60" s="701"/>
      <c r="F60" s="219" t="s">
        <v>501</v>
      </c>
      <c r="G60" s="173" t="s">
        <v>474</v>
      </c>
      <c r="H60" s="691"/>
      <c r="I60" s="692"/>
      <c r="J60" s="162">
        <f t="shared" ref="J60:J64" si="23">K60-K60*$K$3</f>
        <v>5512.44</v>
      </c>
      <c r="K60" s="161">
        <f t="shared" si="15"/>
        <v>5512.44</v>
      </c>
      <c r="L60" s="36"/>
      <c r="M60" s="36"/>
      <c r="N60" s="217">
        <v>5512.44</v>
      </c>
      <c r="O60" s="166">
        <f t="shared" ref="O60:O64" si="24">N60*1.05</f>
        <v>5788.0619999999999</v>
      </c>
    </row>
    <row r="61" spans="1:15" s="35" customFormat="1" ht="20.100000000000001" customHeight="1" x14ac:dyDescent="0.25">
      <c r="A61" s="24"/>
      <c r="B61" s="692"/>
      <c r="C61" s="384" t="s">
        <v>452</v>
      </c>
      <c r="D61" s="702"/>
      <c r="E61" s="701"/>
      <c r="F61" s="219" t="s">
        <v>483</v>
      </c>
      <c r="G61" s="173" t="s">
        <v>471</v>
      </c>
      <c r="H61" s="691"/>
      <c r="I61" s="692"/>
      <c r="J61" s="162">
        <f t="shared" si="23"/>
        <v>5512.44</v>
      </c>
      <c r="K61" s="161">
        <f t="shared" si="15"/>
        <v>5512.44</v>
      </c>
      <c r="L61" s="36"/>
      <c r="M61" s="36"/>
      <c r="N61" s="217">
        <v>5512.44</v>
      </c>
      <c r="O61" s="166">
        <f t="shared" si="24"/>
        <v>5788.0619999999999</v>
      </c>
    </row>
    <row r="62" spans="1:15" s="35" customFormat="1" ht="20.100000000000001" customHeight="1" x14ac:dyDescent="0.25">
      <c r="A62" s="24"/>
      <c r="B62" s="692"/>
      <c r="C62" s="384" t="s">
        <v>452</v>
      </c>
      <c r="D62" s="702"/>
      <c r="E62" s="701"/>
      <c r="F62" s="219" t="s">
        <v>497</v>
      </c>
      <c r="G62" s="173" t="s">
        <v>475</v>
      </c>
      <c r="H62" s="691"/>
      <c r="I62" s="692"/>
      <c r="J62" s="162">
        <f t="shared" si="23"/>
        <v>5512.44</v>
      </c>
      <c r="K62" s="161">
        <f t="shared" si="15"/>
        <v>5512.44</v>
      </c>
      <c r="L62" s="36"/>
      <c r="M62" s="36"/>
      <c r="N62" s="217">
        <v>5512.44</v>
      </c>
      <c r="O62" s="166">
        <f t="shared" si="24"/>
        <v>5788.0619999999999</v>
      </c>
    </row>
    <row r="63" spans="1:15" s="35" customFormat="1" ht="20.100000000000001" customHeight="1" x14ac:dyDescent="0.25">
      <c r="A63" s="24"/>
      <c r="B63" s="692"/>
      <c r="C63" s="384" t="s">
        <v>452</v>
      </c>
      <c r="D63" s="702"/>
      <c r="E63" s="701"/>
      <c r="F63" s="219" t="s">
        <v>492</v>
      </c>
      <c r="G63" s="173" t="s">
        <v>473</v>
      </c>
      <c r="H63" s="691"/>
      <c r="I63" s="692"/>
      <c r="J63" s="162">
        <f t="shared" si="23"/>
        <v>5512.44</v>
      </c>
      <c r="K63" s="161">
        <f t="shared" si="15"/>
        <v>5512.44</v>
      </c>
      <c r="L63" s="36"/>
      <c r="M63" s="36"/>
      <c r="N63" s="217">
        <v>5512.44</v>
      </c>
      <c r="O63" s="166">
        <f t="shared" si="24"/>
        <v>5788.0619999999999</v>
      </c>
    </row>
    <row r="64" spans="1:15" s="35" customFormat="1" ht="20.100000000000001" customHeight="1" x14ac:dyDescent="0.25">
      <c r="A64" s="24"/>
      <c r="B64" s="692"/>
      <c r="C64" s="384" t="s">
        <v>452</v>
      </c>
      <c r="D64" s="702"/>
      <c r="E64" s="701"/>
      <c r="F64" s="387" t="s">
        <v>488</v>
      </c>
      <c r="G64" s="173" t="s">
        <v>472</v>
      </c>
      <c r="H64" s="691"/>
      <c r="I64" s="692"/>
      <c r="J64" s="162">
        <f t="shared" si="23"/>
        <v>5512.44</v>
      </c>
      <c r="K64" s="161">
        <f t="shared" si="15"/>
        <v>5512.44</v>
      </c>
      <c r="L64" s="36"/>
      <c r="M64" s="36"/>
      <c r="N64" s="387">
        <v>5512.44</v>
      </c>
      <c r="O64" s="166">
        <f t="shared" si="24"/>
        <v>5788.0619999999999</v>
      </c>
    </row>
    <row r="65" spans="1:15" s="35" customFormat="1" ht="20.100000000000001" customHeight="1" x14ac:dyDescent="0.25">
      <c r="A65" s="24"/>
      <c r="B65" s="692"/>
      <c r="C65" s="384" t="s">
        <v>448</v>
      </c>
      <c r="D65" s="702" t="s">
        <v>38</v>
      </c>
      <c r="E65" s="701" t="s">
        <v>30</v>
      </c>
      <c r="F65" s="219" t="s">
        <v>272</v>
      </c>
      <c r="G65" s="173" t="s">
        <v>227</v>
      </c>
      <c r="H65" s="691">
        <v>5.4</v>
      </c>
      <c r="I65" s="692" t="s">
        <v>31</v>
      </c>
      <c r="J65" s="162">
        <f t="shared" si="1"/>
        <v>3191.28</v>
      </c>
      <c r="K65" s="163">
        <f t="shared" si="15"/>
        <v>3191.28</v>
      </c>
      <c r="L65" s="36"/>
      <c r="M65" s="36"/>
      <c r="N65" s="212">
        <v>3191.28</v>
      </c>
      <c r="O65" s="153">
        <f t="shared" si="9"/>
        <v>3350.8440000000005</v>
      </c>
    </row>
    <row r="66" spans="1:15" s="35" customFormat="1" ht="20.100000000000001" customHeight="1" x14ac:dyDescent="0.25">
      <c r="A66" s="24"/>
      <c r="B66" s="692"/>
      <c r="C66" s="384" t="s">
        <v>448</v>
      </c>
      <c r="D66" s="702"/>
      <c r="E66" s="701"/>
      <c r="F66" s="219" t="s">
        <v>305</v>
      </c>
      <c r="G66" s="173" t="s">
        <v>132</v>
      </c>
      <c r="H66" s="691"/>
      <c r="I66" s="692"/>
      <c r="J66" s="162">
        <f t="shared" si="1"/>
        <v>3452.93</v>
      </c>
      <c r="K66" s="163">
        <f t="shared" si="15"/>
        <v>3452.93</v>
      </c>
      <c r="L66" s="36"/>
      <c r="M66" s="36"/>
      <c r="N66" s="212">
        <v>3452.93</v>
      </c>
      <c r="O66" s="153">
        <f t="shared" si="9"/>
        <v>3625.5765000000001</v>
      </c>
    </row>
    <row r="67" spans="1:15" s="35" customFormat="1" ht="20.100000000000001" customHeight="1" x14ac:dyDescent="0.25">
      <c r="A67" s="24"/>
      <c r="B67" s="692"/>
      <c r="C67" s="384" t="s">
        <v>448</v>
      </c>
      <c r="D67" s="702"/>
      <c r="E67" s="701"/>
      <c r="F67" s="219" t="s">
        <v>278</v>
      </c>
      <c r="G67" s="173" t="s">
        <v>133</v>
      </c>
      <c r="H67" s="691"/>
      <c r="I67" s="692"/>
      <c r="J67" s="162">
        <f t="shared" si="1"/>
        <v>5031.88</v>
      </c>
      <c r="K67" s="163">
        <f t="shared" si="15"/>
        <v>5031.88</v>
      </c>
      <c r="L67" s="36"/>
      <c r="M67" s="36"/>
      <c r="N67" s="217">
        <v>5031.88</v>
      </c>
      <c r="O67" s="166">
        <f t="shared" si="9"/>
        <v>5283.4740000000002</v>
      </c>
    </row>
    <row r="68" spans="1:15" s="35" customFormat="1" ht="20.100000000000001" customHeight="1" x14ac:dyDescent="0.25">
      <c r="A68" s="24"/>
      <c r="B68" s="692"/>
      <c r="C68" s="384" t="s">
        <v>448</v>
      </c>
      <c r="D68" s="702"/>
      <c r="E68" s="701"/>
      <c r="F68" s="219" t="s">
        <v>282</v>
      </c>
      <c r="G68" s="173" t="s">
        <v>33</v>
      </c>
      <c r="H68" s="691"/>
      <c r="I68" s="692"/>
      <c r="J68" s="162">
        <f t="shared" ref="J68:J70" si="25">K68-K68*$K$3</f>
        <v>5031.88</v>
      </c>
      <c r="K68" s="163">
        <f t="shared" si="15"/>
        <v>5031.88</v>
      </c>
      <c r="L68" s="36"/>
      <c r="M68" s="36"/>
      <c r="N68" s="217">
        <v>5031.88</v>
      </c>
      <c r="O68" s="166">
        <f t="shared" ref="O68:O70" si="26">N68*1.05</f>
        <v>5283.4740000000002</v>
      </c>
    </row>
    <row r="69" spans="1:15" s="35" customFormat="1" ht="20.100000000000001" customHeight="1" x14ac:dyDescent="0.25">
      <c r="A69" s="24"/>
      <c r="B69" s="692"/>
      <c r="C69" s="384" t="s">
        <v>448</v>
      </c>
      <c r="D69" s="702"/>
      <c r="E69" s="701"/>
      <c r="F69" s="219" t="s">
        <v>287</v>
      </c>
      <c r="G69" s="173" t="s">
        <v>34</v>
      </c>
      <c r="H69" s="691"/>
      <c r="I69" s="692"/>
      <c r="J69" s="162">
        <f t="shared" si="25"/>
        <v>5031.88</v>
      </c>
      <c r="K69" s="163">
        <f t="shared" si="15"/>
        <v>5031.88</v>
      </c>
      <c r="L69" s="36"/>
      <c r="M69" s="36"/>
      <c r="N69" s="217">
        <v>5031.88</v>
      </c>
      <c r="O69" s="166">
        <f t="shared" si="26"/>
        <v>5283.4740000000002</v>
      </c>
    </row>
    <row r="70" spans="1:15" s="35" customFormat="1" ht="20.100000000000001" customHeight="1" x14ac:dyDescent="0.25">
      <c r="A70" s="24"/>
      <c r="B70" s="692"/>
      <c r="C70" s="384" t="s">
        <v>448</v>
      </c>
      <c r="D70" s="702"/>
      <c r="E70" s="701"/>
      <c r="F70" s="219" t="s">
        <v>296</v>
      </c>
      <c r="G70" s="173" t="s">
        <v>229</v>
      </c>
      <c r="H70" s="691"/>
      <c r="I70" s="692"/>
      <c r="J70" s="162">
        <f t="shared" si="25"/>
        <v>5031.88</v>
      </c>
      <c r="K70" s="163">
        <f t="shared" si="15"/>
        <v>5031.88</v>
      </c>
      <c r="L70" s="36"/>
      <c r="M70" s="36"/>
      <c r="N70" s="217">
        <v>5031.88</v>
      </c>
      <c r="O70" s="166">
        <f t="shared" si="26"/>
        <v>5283.4740000000002</v>
      </c>
    </row>
    <row r="71" spans="1:15" s="35" customFormat="1" ht="20.100000000000001" customHeight="1" x14ac:dyDescent="0.25">
      <c r="A71" s="24"/>
      <c r="B71" s="692"/>
      <c r="C71" s="384" t="s">
        <v>448</v>
      </c>
      <c r="D71" s="702"/>
      <c r="E71" s="701"/>
      <c r="F71" s="219" t="s">
        <v>299</v>
      </c>
      <c r="G71" s="173" t="s">
        <v>476</v>
      </c>
      <c r="H71" s="691"/>
      <c r="I71" s="692"/>
      <c r="J71" s="162">
        <f>K71-K71*$K$3</f>
        <v>5031.88</v>
      </c>
      <c r="K71" s="163">
        <f t="shared" si="15"/>
        <v>5031.88</v>
      </c>
      <c r="L71" s="36"/>
      <c r="M71" s="36"/>
      <c r="N71" s="217">
        <v>5031.88</v>
      </c>
      <c r="O71" s="166">
        <f>N71*1.05</f>
        <v>5283.4740000000002</v>
      </c>
    </row>
    <row r="72" spans="1:15" s="35" customFormat="1" ht="20.100000000000001" customHeight="1" x14ac:dyDescent="0.25">
      <c r="A72" s="24"/>
      <c r="B72" s="692"/>
      <c r="C72" s="384" t="s">
        <v>448</v>
      </c>
      <c r="D72" s="702"/>
      <c r="E72" s="701"/>
      <c r="F72" s="219" t="s">
        <v>481</v>
      </c>
      <c r="G72" s="173" t="s">
        <v>471</v>
      </c>
      <c r="H72" s="691"/>
      <c r="I72" s="692"/>
      <c r="J72" s="162">
        <f t="shared" ref="J72:J73" si="27">K72-K72*$K$3</f>
        <v>5031.88</v>
      </c>
      <c r="K72" s="163">
        <f t="shared" ref="K72:K100" si="28">IF($K$2=$N$2,N72,O72)</f>
        <v>5031.88</v>
      </c>
      <c r="L72" s="36"/>
      <c r="M72" s="36"/>
      <c r="N72" s="217">
        <v>5031.88</v>
      </c>
      <c r="O72" s="166">
        <f t="shared" ref="O72:O73" si="29">N72*1.05</f>
        <v>5283.4740000000002</v>
      </c>
    </row>
    <row r="73" spans="1:15" s="35" customFormat="1" ht="20.100000000000001" customHeight="1" x14ac:dyDescent="0.25">
      <c r="A73" s="24"/>
      <c r="B73" s="692"/>
      <c r="C73" s="384" t="s">
        <v>448</v>
      </c>
      <c r="D73" s="702"/>
      <c r="E73" s="701"/>
      <c r="F73" s="219" t="s">
        <v>495</v>
      </c>
      <c r="G73" s="173" t="s">
        <v>475</v>
      </c>
      <c r="H73" s="691"/>
      <c r="I73" s="692"/>
      <c r="J73" s="162">
        <f t="shared" si="27"/>
        <v>5031.88</v>
      </c>
      <c r="K73" s="163">
        <f t="shared" si="28"/>
        <v>5031.88</v>
      </c>
      <c r="L73" s="36"/>
      <c r="M73" s="36"/>
      <c r="N73" s="217">
        <v>5031.88</v>
      </c>
      <c r="O73" s="166">
        <f t="shared" si="29"/>
        <v>5283.4740000000002</v>
      </c>
    </row>
    <row r="74" spans="1:15" s="35" customFormat="1" ht="20.100000000000001" customHeight="1" x14ac:dyDescent="0.25">
      <c r="A74" s="24"/>
      <c r="B74" s="687"/>
      <c r="C74" s="388" t="s">
        <v>512</v>
      </c>
      <c r="D74" s="689" t="s">
        <v>326</v>
      </c>
      <c r="E74" s="701" t="s">
        <v>30</v>
      </c>
      <c r="F74" s="219" t="s">
        <v>310</v>
      </c>
      <c r="G74" s="173" t="s">
        <v>227</v>
      </c>
      <c r="H74" s="697">
        <v>5.4</v>
      </c>
      <c r="I74" s="687" t="s">
        <v>31</v>
      </c>
      <c r="J74" s="162">
        <f t="shared" si="1"/>
        <v>3483.76</v>
      </c>
      <c r="K74" s="161">
        <f t="shared" si="28"/>
        <v>3483.76</v>
      </c>
      <c r="L74" s="36"/>
      <c r="M74" s="36"/>
      <c r="N74" s="212">
        <v>3483.76</v>
      </c>
      <c r="O74" s="153">
        <f>N74*1.05</f>
        <v>3657.9480000000003</v>
      </c>
    </row>
    <row r="75" spans="1:15" s="35" customFormat="1" ht="20.100000000000001" customHeight="1" x14ac:dyDescent="0.25">
      <c r="A75" s="24"/>
      <c r="B75" s="700"/>
      <c r="C75" s="388" t="s">
        <v>512</v>
      </c>
      <c r="D75" s="696"/>
      <c r="E75" s="701"/>
      <c r="F75" s="219" t="s">
        <v>312</v>
      </c>
      <c r="G75" s="173" t="s">
        <v>132</v>
      </c>
      <c r="H75" s="698"/>
      <c r="I75" s="700"/>
      <c r="J75" s="162">
        <f t="shared" ref="J75:J76" si="30">K75-K75*$K$3</f>
        <v>3513.5</v>
      </c>
      <c r="K75" s="161">
        <f t="shared" si="28"/>
        <v>3513.5</v>
      </c>
      <c r="L75" s="36"/>
      <c r="M75" s="36"/>
      <c r="N75" s="212">
        <v>3513.5</v>
      </c>
      <c r="O75" s="153">
        <f t="shared" ref="O75:O76" si="31">N75*1.05</f>
        <v>3689.1750000000002</v>
      </c>
    </row>
    <row r="76" spans="1:15" s="35" customFormat="1" ht="20.100000000000001" customHeight="1" x14ac:dyDescent="0.25">
      <c r="A76" s="24"/>
      <c r="B76" s="700"/>
      <c r="C76" s="388" t="s">
        <v>512</v>
      </c>
      <c r="D76" s="696"/>
      <c r="E76" s="701"/>
      <c r="F76" s="219" t="s">
        <v>323</v>
      </c>
      <c r="G76" s="173" t="s">
        <v>228</v>
      </c>
      <c r="H76" s="698"/>
      <c r="I76" s="700"/>
      <c r="J76" s="162">
        <f t="shared" si="30"/>
        <v>4643.7299999999996</v>
      </c>
      <c r="K76" s="161">
        <f t="shared" si="28"/>
        <v>4643.7299999999996</v>
      </c>
      <c r="L76" s="36"/>
      <c r="M76" s="36"/>
      <c r="N76" s="213">
        <v>4643.7299999999996</v>
      </c>
      <c r="O76" s="153">
        <f t="shared" si="31"/>
        <v>4875.9164999999994</v>
      </c>
    </row>
    <row r="77" spans="1:15" s="35" customFormat="1" ht="20.100000000000001" customHeight="1" x14ac:dyDescent="0.25">
      <c r="A77" s="24"/>
      <c r="B77" s="700"/>
      <c r="C77" s="388" t="s">
        <v>512</v>
      </c>
      <c r="D77" s="696"/>
      <c r="E77" s="701"/>
      <c r="F77" s="219" t="s">
        <v>315</v>
      </c>
      <c r="G77" s="173" t="s">
        <v>133</v>
      </c>
      <c r="H77" s="698"/>
      <c r="I77" s="700"/>
      <c r="J77" s="162">
        <f t="shared" si="1"/>
        <v>4643.7299999999996</v>
      </c>
      <c r="K77" s="161">
        <f t="shared" si="28"/>
        <v>4643.7299999999996</v>
      </c>
      <c r="L77" s="36"/>
      <c r="M77" s="36"/>
      <c r="N77" s="218">
        <v>4643.7299999999996</v>
      </c>
      <c r="O77" s="166">
        <f t="shared" si="9"/>
        <v>4875.9164999999994</v>
      </c>
    </row>
    <row r="78" spans="1:15" s="35" customFormat="1" ht="20.100000000000001" customHeight="1" x14ac:dyDescent="0.25">
      <c r="A78" s="24"/>
      <c r="B78" s="700"/>
      <c r="C78" s="388" t="s">
        <v>512</v>
      </c>
      <c r="D78" s="696"/>
      <c r="E78" s="701"/>
      <c r="F78" s="219" t="s">
        <v>317</v>
      </c>
      <c r="G78" s="173" t="s">
        <v>33</v>
      </c>
      <c r="H78" s="698"/>
      <c r="I78" s="700"/>
      <c r="J78" s="162">
        <f t="shared" ref="J78:J81" si="32">K78-K78*$K$3</f>
        <v>4643.7299999999996</v>
      </c>
      <c r="K78" s="161">
        <f t="shared" si="28"/>
        <v>4643.7299999999996</v>
      </c>
      <c r="L78" s="36"/>
      <c r="M78" s="36"/>
      <c r="N78" s="218">
        <v>4643.7299999999996</v>
      </c>
      <c r="O78" s="166">
        <f t="shared" ref="O78:O86" si="33">N78*1.05</f>
        <v>4875.9164999999994</v>
      </c>
    </row>
    <row r="79" spans="1:15" s="35" customFormat="1" ht="20.100000000000001" customHeight="1" x14ac:dyDescent="0.25">
      <c r="A79" s="24"/>
      <c r="B79" s="700"/>
      <c r="C79" s="388" t="s">
        <v>512</v>
      </c>
      <c r="D79" s="696"/>
      <c r="E79" s="701"/>
      <c r="F79" s="219" t="s">
        <v>321</v>
      </c>
      <c r="G79" s="173" t="s">
        <v>34</v>
      </c>
      <c r="H79" s="698"/>
      <c r="I79" s="700"/>
      <c r="J79" s="162">
        <f t="shared" si="32"/>
        <v>4643.7299999999996</v>
      </c>
      <c r="K79" s="161">
        <f t="shared" si="28"/>
        <v>4643.7299999999996</v>
      </c>
      <c r="L79" s="36"/>
      <c r="M79" s="36"/>
      <c r="N79" s="218">
        <v>4643.7299999999996</v>
      </c>
      <c r="O79" s="166">
        <f t="shared" si="33"/>
        <v>4875.9164999999994</v>
      </c>
    </row>
    <row r="80" spans="1:15" s="35" customFormat="1" ht="20.100000000000001" customHeight="1" x14ac:dyDescent="0.25">
      <c r="A80" s="24"/>
      <c r="B80" s="700"/>
      <c r="C80" s="388" t="s">
        <v>512</v>
      </c>
      <c r="D80" s="696"/>
      <c r="E80" s="701"/>
      <c r="F80" s="219" t="s">
        <v>313</v>
      </c>
      <c r="G80" s="173" t="s">
        <v>229</v>
      </c>
      <c r="H80" s="698"/>
      <c r="I80" s="700"/>
      <c r="J80" s="162">
        <f t="shared" si="32"/>
        <v>4643.7299999999996</v>
      </c>
      <c r="K80" s="161">
        <f t="shared" si="28"/>
        <v>4643.7299999999996</v>
      </c>
      <c r="L80" s="36"/>
      <c r="M80" s="36"/>
      <c r="N80" s="218">
        <v>4643.7299999999996</v>
      </c>
      <c r="O80" s="166">
        <f t="shared" si="33"/>
        <v>4875.9164999999994</v>
      </c>
    </row>
    <row r="81" spans="1:15" s="35" customFormat="1" ht="20.100000000000001" customHeight="1" x14ac:dyDescent="0.25">
      <c r="A81" s="24"/>
      <c r="B81" s="700"/>
      <c r="C81" s="388" t="s">
        <v>512</v>
      </c>
      <c r="D81" s="696"/>
      <c r="E81" s="701"/>
      <c r="F81" s="219" t="s">
        <v>319</v>
      </c>
      <c r="G81" s="173" t="s">
        <v>476</v>
      </c>
      <c r="H81" s="698"/>
      <c r="I81" s="700"/>
      <c r="J81" s="162">
        <f t="shared" si="32"/>
        <v>4643.7299999999996</v>
      </c>
      <c r="K81" s="161">
        <f t="shared" si="28"/>
        <v>4643.7299999999996</v>
      </c>
      <c r="L81" s="36"/>
      <c r="M81" s="36"/>
      <c r="N81" s="218">
        <v>4643.7299999999996</v>
      </c>
      <c r="O81" s="166">
        <f t="shared" si="33"/>
        <v>4875.9164999999994</v>
      </c>
    </row>
    <row r="82" spans="1:15" s="35" customFormat="1" ht="20.100000000000001" customHeight="1" x14ac:dyDescent="0.25">
      <c r="A82" s="24"/>
      <c r="B82" s="700"/>
      <c r="C82" s="388" t="s">
        <v>512</v>
      </c>
      <c r="D82" s="696"/>
      <c r="E82" s="383"/>
      <c r="F82" s="219" t="s">
        <v>510</v>
      </c>
      <c r="G82" s="173" t="s">
        <v>474</v>
      </c>
      <c r="H82" s="698"/>
      <c r="I82" s="700"/>
      <c r="J82" s="162">
        <f t="shared" ref="J82:J86" si="34">K82-K82*$K$3</f>
        <v>3530.11</v>
      </c>
      <c r="K82" s="161">
        <f t="shared" si="28"/>
        <v>3530.11</v>
      </c>
      <c r="L82" s="36"/>
      <c r="M82" s="36"/>
      <c r="N82" s="218">
        <v>3530.11</v>
      </c>
      <c r="O82" s="166">
        <f t="shared" si="33"/>
        <v>3706.6155000000003</v>
      </c>
    </row>
    <row r="83" spans="1:15" s="35" customFormat="1" ht="20.100000000000001" customHeight="1" x14ac:dyDescent="0.25">
      <c r="A83" s="24"/>
      <c r="B83" s="700"/>
      <c r="C83" s="388" t="s">
        <v>512</v>
      </c>
      <c r="D83" s="696"/>
      <c r="E83" s="383"/>
      <c r="F83" s="219" t="s">
        <v>502</v>
      </c>
      <c r="G83" s="173" t="s">
        <v>471</v>
      </c>
      <c r="H83" s="698"/>
      <c r="I83" s="700"/>
      <c r="J83" s="162">
        <f t="shared" si="34"/>
        <v>4643.7299999999996</v>
      </c>
      <c r="K83" s="161">
        <f t="shared" si="28"/>
        <v>4643.7299999999996</v>
      </c>
      <c r="L83" s="36"/>
      <c r="M83" s="36"/>
      <c r="N83" s="218">
        <v>4643.7299999999996</v>
      </c>
      <c r="O83" s="166">
        <f t="shared" si="33"/>
        <v>4875.9164999999994</v>
      </c>
    </row>
    <row r="84" spans="1:15" s="35" customFormat="1" ht="20.100000000000001" customHeight="1" x14ac:dyDescent="0.25">
      <c r="A84" s="24"/>
      <c r="B84" s="700"/>
      <c r="C84" s="388" t="s">
        <v>512</v>
      </c>
      <c r="D84" s="696"/>
      <c r="E84" s="383"/>
      <c r="F84" s="219" t="s">
        <v>504</v>
      </c>
      <c r="G84" s="173" t="s">
        <v>475</v>
      </c>
      <c r="H84" s="698"/>
      <c r="I84" s="700"/>
      <c r="J84" s="162">
        <f t="shared" si="34"/>
        <v>4643.7299999999996</v>
      </c>
      <c r="K84" s="161">
        <f t="shared" si="28"/>
        <v>4643.7299999999996</v>
      </c>
      <c r="L84" s="36"/>
      <c r="M84" s="36"/>
      <c r="N84" s="218">
        <v>4643.7299999999996</v>
      </c>
      <c r="O84" s="166">
        <f t="shared" si="33"/>
        <v>4875.9164999999994</v>
      </c>
    </row>
    <row r="85" spans="1:15" s="35" customFormat="1" ht="20.100000000000001" customHeight="1" x14ac:dyDescent="0.25">
      <c r="A85" s="24"/>
      <c r="B85" s="700"/>
      <c r="C85" s="388" t="s">
        <v>512</v>
      </c>
      <c r="D85" s="696"/>
      <c r="E85" s="383"/>
      <c r="F85" s="219" t="s">
        <v>508</v>
      </c>
      <c r="G85" s="173" t="s">
        <v>473</v>
      </c>
      <c r="H85" s="698"/>
      <c r="I85" s="700"/>
      <c r="J85" s="162">
        <f t="shared" si="34"/>
        <v>4643.7299999999996</v>
      </c>
      <c r="K85" s="161">
        <f t="shared" si="28"/>
        <v>4643.7299999999996</v>
      </c>
      <c r="L85" s="36"/>
      <c r="M85" s="36"/>
      <c r="N85" s="218">
        <v>4643.7299999999996</v>
      </c>
      <c r="O85" s="166">
        <f t="shared" si="33"/>
        <v>4875.9164999999994</v>
      </c>
    </row>
    <row r="86" spans="1:15" s="35" customFormat="1" ht="20.100000000000001" customHeight="1" x14ac:dyDescent="0.25">
      <c r="A86" s="24"/>
      <c r="B86" s="688"/>
      <c r="C86" s="388" t="s">
        <v>512</v>
      </c>
      <c r="D86" s="690"/>
      <c r="E86" s="383"/>
      <c r="F86" s="219" t="s">
        <v>506</v>
      </c>
      <c r="G86" s="173" t="s">
        <v>472</v>
      </c>
      <c r="H86" s="699"/>
      <c r="I86" s="688"/>
      <c r="J86" s="162">
        <f t="shared" si="34"/>
        <v>4643.7299999999996</v>
      </c>
      <c r="K86" s="161">
        <f t="shared" si="28"/>
        <v>4643.7299999999996</v>
      </c>
      <c r="L86" s="36"/>
      <c r="M86" s="36"/>
      <c r="N86" s="218">
        <v>4643.7299999999996</v>
      </c>
      <c r="O86" s="166">
        <f t="shared" si="33"/>
        <v>4875.9164999999994</v>
      </c>
    </row>
    <row r="87" spans="1:15" s="35" customFormat="1" ht="30" customHeight="1" x14ac:dyDescent="0.25">
      <c r="A87" s="24"/>
      <c r="B87" s="157"/>
      <c r="C87" s="384" t="s">
        <v>6</v>
      </c>
      <c r="D87" s="159" t="s">
        <v>156</v>
      </c>
      <c r="E87" s="155" t="s">
        <v>36</v>
      </c>
      <c r="F87" s="219" t="s">
        <v>309</v>
      </c>
      <c r="G87" s="173" t="s">
        <v>155</v>
      </c>
      <c r="H87" s="156">
        <v>5.4</v>
      </c>
      <c r="I87" s="157" t="s">
        <v>31</v>
      </c>
      <c r="J87" s="162">
        <f t="shared" si="1"/>
        <v>1015.61</v>
      </c>
      <c r="K87" s="161">
        <f t="shared" si="28"/>
        <v>1015.61</v>
      </c>
      <c r="L87" s="36"/>
      <c r="M87" s="36"/>
      <c r="N87" s="212">
        <v>1015.61</v>
      </c>
      <c r="O87" s="153">
        <f t="shared" si="9"/>
        <v>1066.3905</v>
      </c>
    </row>
    <row r="88" spans="1:15" s="35" customFormat="1" ht="20.100000000000001" customHeight="1" x14ac:dyDescent="0.25">
      <c r="A88" s="24"/>
      <c r="B88" s="687"/>
      <c r="C88" s="388" t="s">
        <v>451</v>
      </c>
      <c r="D88" s="689" t="s">
        <v>238</v>
      </c>
      <c r="E88" s="701" t="s">
        <v>36</v>
      </c>
      <c r="F88" s="219" t="s">
        <v>308</v>
      </c>
      <c r="G88" s="173" t="s">
        <v>227</v>
      </c>
      <c r="H88" s="697">
        <v>5.4</v>
      </c>
      <c r="I88" s="687" t="s">
        <v>31</v>
      </c>
      <c r="J88" s="162">
        <f t="shared" si="1"/>
        <v>2136</v>
      </c>
      <c r="K88" s="161">
        <f t="shared" si="28"/>
        <v>2136</v>
      </c>
      <c r="L88" s="36"/>
      <c r="M88" s="36"/>
      <c r="N88" s="212">
        <v>2136</v>
      </c>
      <c r="O88" s="153">
        <f t="shared" si="9"/>
        <v>2242.8000000000002</v>
      </c>
    </row>
    <row r="89" spans="1:15" s="35" customFormat="1" ht="20.100000000000001" customHeight="1" x14ac:dyDescent="0.25">
      <c r="A89" s="24"/>
      <c r="B89" s="700"/>
      <c r="C89" s="388" t="s">
        <v>451</v>
      </c>
      <c r="D89" s="696"/>
      <c r="E89" s="701"/>
      <c r="F89" s="219" t="s">
        <v>311</v>
      </c>
      <c r="G89" s="173" t="s">
        <v>132</v>
      </c>
      <c r="H89" s="698"/>
      <c r="I89" s="700"/>
      <c r="J89" s="162">
        <f t="shared" si="1"/>
        <v>2318.09</v>
      </c>
      <c r="K89" s="161">
        <f t="shared" si="28"/>
        <v>2318.09</v>
      </c>
      <c r="L89" s="36"/>
      <c r="M89" s="36"/>
      <c r="N89" s="212">
        <v>2318.09</v>
      </c>
      <c r="O89" s="153">
        <f t="shared" si="9"/>
        <v>2433.9945000000002</v>
      </c>
    </row>
    <row r="90" spans="1:15" s="35" customFormat="1" ht="20.100000000000001" customHeight="1" x14ac:dyDescent="0.25">
      <c r="A90" s="24"/>
      <c r="B90" s="700"/>
      <c r="C90" s="388" t="s">
        <v>451</v>
      </c>
      <c r="D90" s="696"/>
      <c r="E90" s="701"/>
      <c r="F90" s="219" t="s">
        <v>324</v>
      </c>
      <c r="G90" s="173" t="s">
        <v>228</v>
      </c>
      <c r="H90" s="698"/>
      <c r="I90" s="700"/>
      <c r="J90" s="162">
        <f>K90-K90*$K$3</f>
        <v>2209.34</v>
      </c>
      <c r="K90" s="161">
        <f t="shared" si="28"/>
        <v>2209.34</v>
      </c>
      <c r="L90" s="36"/>
      <c r="M90" s="36"/>
      <c r="N90" s="218">
        <v>2209.34</v>
      </c>
      <c r="O90" s="166">
        <f>N90*1.05</f>
        <v>2319.8070000000002</v>
      </c>
    </row>
    <row r="91" spans="1:15" s="35" customFormat="1" ht="20.100000000000001" customHeight="1" x14ac:dyDescent="0.25">
      <c r="A91" s="24"/>
      <c r="B91" s="700"/>
      <c r="C91" s="388" t="s">
        <v>451</v>
      </c>
      <c r="D91" s="696"/>
      <c r="E91" s="701"/>
      <c r="F91" s="219" t="s">
        <v>316</v>
      </c>
      <c r="G91" s="173" t="s">
        <v>133</v>
      </c>
      <c r="H91" s="698"/>
      <c r="I91" s="700"/>
      <c r="J91" s="162">
        <f t="shared" ref="J91:J95" si="35">K91-K91*$K$3</f>
        <v>2209.34</v>
      </c>
      <c r="K91" s="161">
        <f t="shared" si="28"/>
        <v>2209.34</v>
      </c>
      <c r="L91" s="36"/>
      <c r="M91" s="36"/>
      <c r="N91" s="218">
        <v>2209.34</v>
      </c>
      <c r="O91" s="166">
        <f t="shared" ref="O91:O100" si="36">N91*1.05</f>
        <v>2319.8070000000002</v>
      </c>
    </row>
    <row r="92" spans="1:15" s="35" customFormat="1" ht="20.100000000000001" customHeight="1" x14ac:dyDescent="0.25">
      <c r="A92" s="24"/>
      <c r="B92" s="700"/>
      <c r="C92" s="388" t="s">
        <v>451</v>
      </c>
      <c r="D92" s="696"/>
      <c r="E92" s="701"/>
      <c r="F92" s="219" t="s">
        <v>318</v>
      </c>
      <c r="G92" s="173" t="s">
        <v>33</v>
      </c>
      <c r="H92" s="698"/>
      <c r="I92" s="700"/>
      <c r="J92" s="162">
        <f t="shared" si="35"/>
        <v>2209.34</v>
      </c>
      <c r="K92" s="161">
        <f t="shared" si="28"/>
        <v>2209.34</v>
      </c>
      <c r="L92" s="36"/>
      <c r="M92" s="36"/>
      <c r="N92" s="218">
        <v>2209.34</v>
      </c>
      <c r="O92" s="166">
        <f t="shared" si="36"/>
        <v>2319.8070000000002</v>
      </c>
    </row>
    <row r="93" spans="1:15" s="35" customFormat="1" ht="20.100000000000001" customHeight="1" x14ac:dyDescent="0.25">
      <c r="A93" s="24"/>
      <c r="B93" s="700"/>
      <c r="C93" s="388" t="s">
        <v>451</v>
      </c>
      <c r="D93" s="696"/>
      <c r="E93" s="701"/>
      <c r="F93" s="219" t="s">
        <v>322</v>
      </c>
      <c r="G93" s="173" t="s">
        <v>34</v>
      </c>
      <c r="H93" s="698"/>
      <c r="I93" s="700"/>
      <c r="J93" s="162">
        <f t="shared" si="35"/>
        <v>2209.34</v>
      </c>
      <c r="K93" s="161">
        <f t="shared" si="28"/>
        <v>2209.34</v>
      </c>
      <c r="L93" s="36"/>
      <c r="M93" s="36"/>
      <c r="N93" s="218">
        <v>2209.34</v>
      </c>
      <c r="O93" s="166">
        <f t="shared" si="36"/>
        <v>2319.8070000000002</v>
      </c>
    </row>
    <row r="94" spans="1:15" s="35" customFormat="1" ht="20.100000000000001" customHeight="1" x14ac:dyDescent="0.25">
      <c r="A94" s="24"/>
      <c r="B94" s="700"/>
      <c r="C94" s="388" t="s">
        <v>451</v>
      </c>
      <c r="D94" s="696"/>
      <c r="E94" s="701"/>
      <c r="F94" s="219" t="s">
        <v>314</v>
      </c>
      <c r="G94" s="173" t="s">
        <v>229</v>
      </c>
      <c r="H94" s="698"/>
      <c r="I94" s="700"/>
      <c r="J94" s="162">
        <f t="shared" si="35"/>
        <v>2209.34</v>
      </c>
      <c r="K94" s="161">
        <f t="shared" si="28"/>
        <v>2209.34</v>
      </c>
      <c r="L94" s="36"/>
      <c r="M94" s="36"/>
      <c r="N94" s="218">
        <v>2209.34</v>
      </c>
      <c r="O94" s="166">
        <f t="shared" si="36"/>
        <v>2319.8070000000002</v>
      </c>
    </row>
    <row r="95" spans="1:15" s="35" customFormat="1" ht="20.100000000000001" customHeight="1" x14ac:dyDescent="0.25">
      <c r="A95" s="24"/>
      <c r="B95" s="700"/>
      <c r="C95" s="388" t="s">
        <v>451</v>
      </c>
      <c r="D95" s="696"/>
      <c r="E95" s="701"/>
      <c r="F95" s="219" t="s">
        <v>320</v>
      </c>
      <c r="G95" s="173" t="s">
        <v>476</v>
      </c>
      <c r="H95" s="698"/>
      <c r="I95" s="700"/>
      <c r="J95" s="162">
        <f t="shared" si="35"/>
        <v>2209.34</v>
      </c>
      <c r="K95" s="161">
        <f t="shared" si="28"/>
        <v>2209.34</v>
      </c>
      <c r="L95" s="36"/>
      <c r="M95" s="36"/>
      <c r="N95" s="218">
        <v>2209.34</v>
      </c>
      <c r="O95" s="166">
        <f t="shared" si="36"/>
        <v>2319.8070000000002</v>
      </c>
    </row>
    <row r="96" spans="1:15" s="35" customFormat="1" ht="20.100000000000001" customHeight="1" x14ac:dyDescent="0.25">
      <c r="A96" s="24"/>
      <c r="B96" s="700"/>
      <c r="C96" s="388" t="s">
        <v>451</v>
      </c>
      <c r="D96" s="696"/>
      <c r="E96" s="383"/>
      <c r="F96" s="219" t="s">
        <v>511</v>
      </c>
      <c r="G96" s="173" t="s">
        <v>474</v>
      </c>
      <c r="H96" s="698"/>
      <c r="I96" s="700"/>
      <c r="J96" s="162">
        <f t="shared" ref="J96:J100" si="37">K96-K96*$K$3</f>
        <v>2162.16</v>
      </c>
      <c r="K96" s="161">
        <f t="shared" si="28"/>
        <v>2162.16</v>
      </c>
      <c r="L96" s="36"/>
      <c r="M96" s="36"/>
      <c r="N96" s="218">
        <v>2162.16</v>
      </c>
      <c r="O96" s="166">
        <f t="shared" si="36"/>
        <v>2270.268</v>
      </c>
    </row>
    <row r="97" spans="1:15" s="35" customFormat="1" ht="20.100000000000001" customHeight="1" x14ac:dyDescent="0.25">
      <c r="A97" s="24"/>
      <c r="B97" s="700"/>
      <c r="C97" s="388" t="s">
        <v>451</v>
      </c>
      <c r="D97" s="696"/>
      <c r="E97" s="383"/>
      <c r="F97" s="219" t="s">
        <v>503</v>
      </c>
      <c r="G97" s="173" t="s">
        <v>471</v>
      </c>
      <c r="H97" s="698"/>
      <c r="I97" s="700"/>
      <c r="J97" s="162">
        <f t="shared" si="37"/>
        <v>2209.34</v>
      </c>
      <c r="K97" s="161">
        <f t="shared" si="28"/>
        <v>2209.34</v>
      </c>
      <c r="L97" s="36"/>
      <c r="M97" s="36"/>
      <c r="N97" s="218">
        <v>2209.34</v>
      </c>
      <c r="O97" s="166">
        <f t="shared" si="36"/>
        <v>2319.8070000000002</v>
      </c>
    </row>
    <row r="98" spans="1:15" s="35" customFormat="1" ht="20.100000000000001" customHeight="1" x14ac:dyDescent="0.25">
      <c r="A98" s="24"/>
      <c r="B98" s="700"/>
      <c r="C98" s="388" t="s">
        <v>451</v>
      </c>
      <c r="D98" s="696"/>
      <c r="E98" s="383"/>
      <c r="F98" s="219" t="s">
        <v>505</v>
      </c>
      <c r="G98" s="173" t="s">
        <v>475</v>
      </c>
      <c r="H98" s="698"/>
      <c r="I98" s="700"/>
      <c r="J98" s="162">
        <f t="shared" si="37"/>
        <v>2209.34</v>
      </c>
      <c r="K98" s="161">
        <f t="shared" si="28"/>
        <v>2209.34</v>
      </c>
      <c r="L98" s="36"/>
      <c r="M98" s="36"/>
      <c r="N98" s="218">
        <v>2209.34</v>
      </c>
      <c r="O98" s="166">
        <f t="shared" si="36"/>
        <v>2319.8070000000002</v>
      </c>
    </row>
    <row r="99" spans="1:15" s="35" customFormat="1" ht="20.100000000000001" customHeight="1" x14ac:dyDescent="0.25">
      <c r="A99" s="24"/>
      <c r="B99" s="700"/>
      <c r="C99" s="388" t="s">
        <v>451</v>
      </c>
      <c r="D99" s="696"/>
      <c r="E99" s="383"/>
      <c r="F99" s="219" t="s">
        <v>509</v>
      </c>
      <c r="G99" s="173" t="s">
        <v>473</v>
      </c>
      <c r="H99" s="698"/>
      <c r="I99" s="700"/>
      <c r="J99" s="162">
        <f t="shared" si="37"/>
        <v>2209.34</v>
      </c>
      <c r="K99" s="161">
        <f t="shared" si="28"/>
        <v>2209.34</v>
      </c>
      <c r="L99" s="36"/>
      <c r="M99" s="36"/>
      <c r="N99" s="218">
        <v>2209.34</v>
      </c>
      <c r="O99" s="166">
        <f t="shared" si="36"/>
        <v>2319.8070000000002</v>
      </c>
    </row>
    <row r="100" spans="1:15" s="35" customFormat="1" ht="20.100000000000001" customHeight="1" x14ac:dyDescent="0.25">
      <c r="A100" s="24"/>
      <c r="B100" s="688"/>
      <c r="C100" s="388" t="s">
        <v>451</v>
      </c>
      <c r="D100" s="690"/>
      <c r="E100" s="383"/>
      <c r="F100" s="219" t="s">
        <v>507</v>
      </c>
      <c r="G100" s="173" t="s">
        <v>472</v>
      </c>
      <c r="H100" s="699"/>
      <c r="I100" s="688"/>
      <c r="J100" s="162">
        <f t="shared" si="37"/>
        <v>2209.34</v>
      </c>
      <c r="K100" s="161">
        <f t="shared" si="28"/>
        <v>2209.34</v>
      </c>
      <c r="L100" s="36"/>
      <c r="M100" s="36"/>
      <c r="N100" s="218">
        <v>2209.34</v>
      </c>
      <c r="O100" s="166">
        <f t="shared" si="36"/>
        <v>2319.8070000000002</v>
      </c>
    </row>
    <row r="101" spans="1:15" s="35" customFormat="1" ht="18" customHeight="1" x14ac:dyDescent="0.25">
      <c r="A101" s="24"/>
      <c r="B101" s="227" t="s">
        <v>39</v>
      </c>
      <c r="C101" s="227"/>
      <c r="D101" s="227"/>
      <c r="E101" s="227"/>
      <c r="F101" s="227"/>
      <c r="G101" s="227"/>
      <c r="H101" s="227"/>
      <c r="I101" s="227"/>
      <c r="J101" s="227"/>
      <c r="K101" s="227"/>
      <c r="L101" s="36"/>
      <c r="M101" s="36"/>
      <c r="N101" s="209"/>
      <c r="O101" s="210"/>
    </row>
    <row r="102" spans="1:15" s="35" customFormat="1" ht="20.100000000000001" customHeight="1" x14ac:dyDescent="0.25">
      <c r="A102" s="24"/>
      <c r="B102" s="715"/>
      <c r="C102" s="381"/>
      <c r="D102" s="702" t="s">
        <v>40</v>
      </c>
      <c r="E102" s="737" t="s">
        <v>41</v>
      </c>
      <c r="F102" s="219" t="s">
        <v>336</v>
      </c>
      <c r="G102" s="173" t="s">
        <v>227</v>
      </c>
      <c r="H102" s="716"/>
      <c r="I102" s="717" t="s">
        <v>31</v>
      </c>
      <c r="J102" s="162">
        <f>K102-K102*$K$3</f>
        <v>446.37</v>
      </c>
      <c r="K102" s="161">
        <f t="shared" ref="K102:K132" si="38">IF($K$2=$N$2,N102,O102)</f>
        <v>446.37</v>
      </c>
      <c r="L102" s="36"/>
      <c r="M102" s="36"/>
      <c r="N102" s="225">
        <v>446.37</v>
      </c>
      <c r="O102" s="166">
        <f t="shared" ref="O102:O122" si="39">N102*1.05</f>
        <v>468.68850000000003</v>
      </c>
    </row>
    <row r="103" spans="1:15" s="35" customFormat="1" ht="20.100000000000001" customHeight="1" x14ac:dyDescent="0.25">
      <c r="A103" s="24"/>
      <c r="B103" s="715"/>
      <c r="C103" s="381"/>
      <c r="D103" s="702"/>
      <c r="E103" s="737"/>
      <c r="F103" s="219" t="s">
        <v>391</v>
      </c>
      <c r="G103" s="173" t="s">
        <v>132</v>
      </c>
      <c r="H103" s="716"/>
      <c r="I103" s="717"/>
      <c r="J103" s="162">
        <f t="shared" ref="J103:J104" si="40">K103-K103*$K$3</f>
        <v>446.37</v>
      </c>
      <c r="K103" s="161">
        <f t="shared" si="38"/>
        <v>446.37</v>
      </c>
      <c r="L103" s="36"/>
      <c r="M103" s="36"/>
      <c r="N103" s="225">
        <v>446.37</v>
      </c>
      <c r="O103" s="166">
        <f t="shared" ref="O103:O104" si="41">N103*1.05</f>
        <v>468.68850000000003</v>
      </c>
    </row>
    <row r="104" spans="1:15" s="35" customFormat="1" ht="20.100000000000001" customHeight="1" x14ac:dyDescent="0.25">
      <c r="A104" s="24"/>
      <c r="B104" s="715"/>
      <c r="C104" s="381"/>
      <c r="D104" s="702"/>
      <c r="E104" s="737"/>
      <c r="F104" s="219" t="s">
        <v>381</v>
      </c>
      <c r="G104" s="173" t="s">
        <v>136</v>
      </c>
      <c r="H104" s="716"/>
      <c r="I104" s="717"/>
      <c r="J104" s="162">
        <f t="shared" si="40"/>
        <v>446.37</v>
      </c>
      <c r="K104" s="161">
        <f t="shared" si="38"/>
        <v>446.37</v>
      </c>
      <c r="L104" s="36"/>
      <c r="M104" s="36"/>
      <c r="N104" s="225">
        <v>446.37</v>
      </c>
      <c r="O104" s="166">
        <f t="shared" si="41"/>
        <v>468.68850000000003</v>
      </c>
    </row>
    <row r="105" spans="1:15" s="35" customFormat="1" ht="40.049999999999997" customHeight="1" x14ac:dyDescent="0.25">
      <c r="A105" s="24"/>
      <c r="B105" s="158"/>
      <c r="C105" s="381" t="s">
        <v>42</v>
      </c>
      <c r="D105" s="159" t="s">
        <v>42</v>
      </c>
      <c r="E105" s="155" t="s">
        <v>43</v>
      </c>
      <c r="F105" s="219" t="s">
        <v>337</v>
      </c>
      <c r="G105" s="173" t="s">
        <v>227</v>
      </c>
      <c r="H105" s="167"/>
      <c r="I105" s="168" t="s">
        <v>31</v>
      </c>
      <c r="J105" s="162">
        <f>K105-K105*$K$3</f>
        <v>2188.8200000000002</v>
      </c>
      <c r="K105" s="161">
        <f t="shared" si="38"/>
        <v>2188.8200000000002</v>
      </c>
      <c r="L105" s="36"/>
      <c r="M105" s="36"/>
      <c r="N105" s="212">
        <v>2188.8200000000002</v>
      </c>
      <c r="O105" s="161">
        <f t="shared" si="39"/>
        <v>2298.2610000000004</v>
      </c>
    </row>
    <row r="106" spans="1:15" s="35" customFormat="1" ht="20.100000000000001" customHeight="1" x14ac:dyDescent="0.25">
      <c r="A106" s="24"/>
      <c r="B106" s="715"/>
      <c r="C106" s="381"/>
      <c r="D106" s="702" t="s">
        <v>44</v>
      </c>
      <c r="E106" s="701" t="s">
        <v>45</v>
      </c>
      <c r="F106" s="219" t="s">
        <v>338</v>
      </c>
      <c r="G106" s="173" t="s">
        <v>227</v>
      </c>
      <c r="H106" s="716"/>
      <c r="I106" s="717" t="s">
        <v>46</v>
      </c>
      <c r="J106" s="162">
        <f>K106-K106*$K$3</f>
        <v>93.19</v>
      </c>
      <c r="K106" s="161">
        <f t="shared" si="38"/>
        <v>93.19</v>
      </c>
      <c r="L106" s="36"/>
      <c r="M106" s="36"/>
      <c r="N106" s="225">
        <v>93.19</v>
      </c>
      <c r="O106" s="166">
        <f t="shared" si="39"/>
        <v>97.849500000000006</v>
      </c>
    </row>
    <row r="107" spans="1:15" s="35" customFormat="1" ht="20.100000000000001" customHeight="1" x14ac:dyDescent="0.25">
      <c r="A107" s="24"/>
      <c r="B107" s="715"/>
      <c r="C107" s="381"/>
      <c r="D107" s="702"/>
      <c r="E107" s="701"/>
      <c r="F107" s="219" t="s">
        <v>392</v>
      </c>
      <c r="G107" s="173" t="s">
        <v>132</v>
      </c>
      <c r="H107" s="716"/>
      <c r="I107" s="717"/>
      <c r="J107" s="162">
        <f t="shared" ref="J107:J108" si="42">K107-K107*$K$3</f>
        <v>93.19</v>
      </c>
      <c r="K107" s="161">
        <f t="shared" si="38"/>
        <v>93.19</v>
      </c>
      <c r="L107" s="36"/>
      <c r="M107" s="36"/>
      <c r="N107" s="225">
        <v>93.19</v>
      </c>
      <c r="O107" s="166">
        <f t="shared" ref="O107:O108" si="43">N107*1.05</f>
        <v>97.849500000000006</v>
      </c>
    </row>
    <row r="108" spans="1:15" s="35" customFormat="1" ht="20.100000000000001" customHeight="1" x14ac:dyDescent="0.25">
      <c r="A108" s="24"/>
      <c r="B108" s="715"/>
      <c r="C108" s="381"/>
      <c r="D108" s="702"/>
      <c r="E108" s="701"/>
      <c r="F108" s="219" t="s">
        <v>382</v>
      </c>
      <c r="G108" s="173" t="s">
        <v>136</v>
      </c>
      <c r="H108" s="716"/>
      <c r="I108" s="717"/>
      <c r="J108" s="162">
        <f t="shared" si="42"/>
        <v>93.19</v>
      </c>
      <c r="K108" s="161">
        <f t="shared" si="38"/>
        <v>93.19</v>
      </c>
      <c r="L108" s="36"/>
      <c r="M108" s="36"/>
      <c r="N108" s="225">
        <v>93.19</v>
      </c>
      <c r="O108" s="166">
        <f t="shared" si="43"/>
        <v>97.849500000000006</v>
      </c>
    </row>
    <row r="109" spans="1:15" s="39" customFormat="1" ht="20.100000000000001" customHeight="1" x14ac:dyDescent="0.25">
      <c r="B109" s="736"/>
      <c r="C109" s="382"/>
      <c r="D109" s="702" t="s">
        <v>215</v>
      </c>
      <c r="E109" s="734"/>
      <c r="F109" s="219" t="s">
        <v>374</v>
      </c>
      <c r="G109" s="173" t="s">
        <v>227</v>
      </c>
      <c r="H109" s="735"/>
      <c r="I109" s="734" t="s">
        <v>31</v>
      </c>
      <c r="J109" s="174">
        <f>K109-K109*$K$3</f>
        <v>281.54000000000002</v>
      </c>
      <c r="K109" s="161">
        <f t="shared" si="38"/>
        <v>281.54000000000002</v>
      </c>
      <c r="L109" s="36"/>
      <c r="M109" s="36"/>
      <c r="N109" s="217">
        <v>281.54000000000002</v>
      </c>
      <c r="O109" s="166">
        <f t="shared" si="39"/>
        <v>295.61700000000002</v>
      </c>
    </row>
    <row r="110" spans="1:15" s="39" customFormat="1" ht="20.100000000000001" customHeight="1" x14ac:dyDescent="0.25">
      <c r="B110" s="736"/>
      <c r="C110" s="382"/>
      <c r="D110" s="702"/>
      <c r="E110" s="734"/>
      <c r="F110" s="219" t="s">
        <v>373</v>
      </c>
      <c r="G110" s="173" t="s">
        <v>329</v>
      </c>
      <c r="H110" s="735"/>
      <c r="I110" s="734"/>
      <c r="J110" s="174">
        <f t="shared" ref="J110:J112" si="44">K110-K110*$K$3</f>
        <v>281.54000000000002</v>
      </c>
      <c r="K110" s="161">
        <f t="shared" si="38"/>
        <v>281.54000000000002</v>
      </c>
      <c r="L110" s="36"/>
      <c r="M110" s="36"/>
      <c r="N110" s="217">
        <v>281.54000000000002</v>
      </c>
      <c r="O110" s="166">
        <f t="shared" ref="O110:O112" si="45">N110*1.05</f>
        <v>295.61700000000002</v>
      </c>
    </row>
    <row r="111" spans="1:15" s="39" customFormat="1" ht="20.100000000000001" customHeight="1" x14ac:dyDescent="0.25">
      <c r="B111" s="736"/>
      <c r="C111" s="382"/>
      <c r="D111" s="702"/>
      <c r="E111" s="734"/>
      <c r="F111" s="219" t="s">
        <v>389</v>
      </c>
      <c r="G111" s="173" t="s">
        <v>328</v>
      </c>
      <c r="H111" s="735"/>
      <c r="I111" s="734"/>
      <c r="J111" s="174">
        <f t="shared" si="44"/>
        <v>281.54000000000002</v>
      </c>
      <c r="K111" s="161">
        <f t="shared" si="38"/>
        <v>281.54000000000002</v>
      </c>
      <c r="L111" s="36"/>
      <c r="M111" s="36"/>
      <c r="N111" s="217">
        <v>281.54000000000002</v>
      </c>
      <c r="O111" s="166">
        <f t="shared" si="45"/>
        <v>295.61700000000002</v>
      </c>
    </row>
    <row r="112" spans="1:15" s="39" customFormat="1" ht="20.100000000000001" customHeight="1" x14ac:dyDescent="0.25">
      <c r="B112" s="736"/>
      <c r="C112" s="382"/>
      <c r="D112" s="702"/>
      <c r="E112" s="734"/>
      <c r="F112" s="219" t="s">
        <v>401</v>
      </c>
      <c r="G112" s="173" t="s">
        <v>327</v>
      </c>
      <c r="H112" s="735"/>
      <c r="I112" s="734"/>
      <c r="J112" s="174">
        <f t="shared" si="44"/>
        <v>281.54000000000002</v>
      </c>
      <c r="K112" s="161">
        <f t="shared" si="38"/>
        <v>281.54000000000002</v>
      </c>
      <c r="L112" s="36"/>
      <c r="M112" s="36"/>
      <c r="N112" s="217">
        <v>281.54000000000002</v>
      </c>
      <c r="O112" s="166">
        <f t="shared" si="45"/>
        <v>295.61700000000002</v>
      </c>
    </row>
    <row r="113" spans="1:15" s="39" customFormat="1" ht="20.100000000000001" customHeight="1" x14ac:dyDescent="0.25">
      <c r="B113" s="730"/>
      <c r="C113" s="373"/>
      <c r="D113" s="689" t="s">
        <v>138</v>
      </c>
      <c r="E113" s="170" t="s">
        <v>139</v>
      </c>
      <c r="F113" s="219" t="s">
        <v>344</v>
      </c>
      <c r="G113" s="173" t="s">
        <v>227</v>
      </c>
      <c r="H113" s="721"/>
      <c r="I113" s="718" t="s">
        <v>31</v>
      </c>
      <c r="J113" s="162">
        <f>K113-K113*$K$3</f>
        <v>2849.07</v>
      </c>
      <c r="K113" s="161">
        <f t="shared" si="38"/>
        <v>2849.07</v>
      </c>
      <c r="L113" s="36"/>
      <c r="M113" s="36"/>
      <c r="N113" s="212">
        <v>2849.07</v>
      </c>
      <c r="O113" s="153">
        <f t="shared" si="39"/>
        <v>2991.5235000000002</v>
      </c>
    </row>
    <row r="114" spans="1:15" s="39" customFormat="1" ht="20.100000000000001" customHeight="1" x14ac:dyDescent="0.25">
      <c r="B114" s="731"/>
      <c r="C114" s="374"/>
      <c r="D114" s="696"/>
      <c r="E114" s="172"/>
      <c r="F114" s="219" t="s">
        <v>343</v>
      </c>
      <c r="G114" s="173" t="s">
        <v>331</v>
      </c>
      <c r="H114" s="722"/>
      <c r="I114" s="719"/>
      <c r="J114" s="162">
        <f t="shared" ref="J114:J115" si="46">K114-K114*$K$3</f>
        <v>2849.07</v>
      </c>
      <c r="K114" s="161">
        <f t="shared" si="38"/>
        <v>2849.07</v>
      </c>
      <c r="L114" s="36"/>
      <c r="M114" s="36"/>
      <c r="N114" s="212">
        <v>2849.07</v>
      </c>
      <c r="O114" s="161">
        <f t="shared" ref="O114:O115" si="47">N114*1.05</f>
        <v>2991.5235000000002</v>
      </c>
    </row>
    <row r="115" spans="1:15" s="39" customFormat="1" ht="20.100000000000001" customHeight="1" x14ac:dyDescent="0.25">
      <c r="B115" s="732"/>
      <c r="C115" s="375"/>
      <c r="D115" s="690"/>
      <c r="E115" s="172"/>
      <c r="F115" s="219" t="s">
        <v>345</v>
      </c>
      <c r="G115" s="173" t="s">
        <v>330</v>
      </c>
      <c r="H115" s="723"/>
      <c r="I115" s="720"/>
      <c r="J115" s="162">
        <f t="shared" si="46"/>
        <v>2849.07</v>
      </c>
      <c r="K115" s="161">
        <f t="shared" si="38"/>
        <v>2849.07</v>
      </c>
      <c r="L115" s="36"/>
      <c r="M115" s="36"/>
      <c r="N115" s="212">
        <v>2849.07</v>
      </c>
      <c r="O115" s="161">
        <f t="shared" si="47"/>
        <v>2991.5235000000002</v>
      </c>
    </row>
    <row r="116" spans="1:15" s="39" customFormat="1" ht="20.100000000000001" customHeight="1" x14ac:dyDescent="0.25">
      <c r="B116" s="730"/>
      <c r="C116" s="373"/>
      <c r="D116" s="689" t="s">
        <v>140</v>
      </c>
      <c r="E116" s="170" t="s">
        <v>139</v>
      </c>
      <c r="F116" s="219" t="s">
        <v>340</v>
      </c>
      <c r="G116" s="173" t="s">
        <v>227</v>
      </c>
      <c r="H116" s="721"/>
      <c r="I116" s="718" t="s">
        <v>31</v>
      </c>
      <c r="J116" s="162">
        <f>K116-K116*$K$3</f>
        <v>2849.07</v>
      </c>
      <c r="K116" s="161">
        <f t="shared" si="38"/>
        <v>2849.07</v>
      </c>
      <c r="L116" s="36"/>
      <c r="M116" s="36"/>
      <c r="N116" s="212">
        <v>2849.07</v>
      </c>
      <c r="O116" s="153">
        <f t="shared" si="39"/>
        <v>2991.5235000000002</v>
      </c>
    </row>
    <row r="117" spans="1:15" s="39" customFormat="1" ht="20.100000000000001" customHeight="1" x14ac:dyDescent="0.25">
      <c r="B117" s="731"/>
      <c r="C117" s="374"/>
      <c r="D117" s="696"/>
      <c r="E117" s="172"/>
      <c r="F117" s="219" t="s">
        <v>341</v>
      </c>
      <c r="G117" s="173" t="s">
        <v>331</v>
      </c>
      <c r="H117" s="722"/>
      <c r="I117" s="719"/>
      <c r="J117" s="162">
        <f t="shared" ref="J117:J118" si="48">K117-K117*$K$3</f>
        <v>2849.07</v>
      </c>
      <c r="K117" s="161">
        <f t="shared" si="38"/>
        <v>2849.07</v>
      </c>
      <c r="L117" s="36"/>
      <c r="M117" s="36"/>
      <c r="N117" s="212">
        <v>2849.07</v>
      </c>
      <c r="O117" s="161">
        <f t="shared" ref="O117:O118" si="49">N117*1.05</f>
        <v>2991.5235000000002</v>
      </c>
    </row>
    <row r="118" spans="1:15" s="39" customFormat="1" ht="20.100000000000001" customHeight="1" x14ac:dyDescent="0.25">
      <c r="B118" s="732"/>
      <c r="C118" s="375"/>
      <c r="D118" s="690"/>
      <c r="E118" s="172"/>
      <c r="F118" s="219" t="s">
        <v>342</v>
      </c>
      <c r="G118" s="173" t="s">
        <v>330</v>
      </c>
      <c r="H118" s="723"/>
      <c r="I118" s="720"/>
      <c r="J118" s="162">
        <f t="shared" si="48"/>
        <v>2849.07</v>
      </c>
      <c r="K118" s="161">
        <f t="shared" si="38"/>
        <v>2849.07</v>
      </c>
      <c r="L118" s="36"/>
      <c r="M118" s="36"/>
      <c r="N118" s="212">
        <v>2849.07</v>
      </c>
      <c r="O118" s="161">
        <f t="shared" si="49"/>
        <v>2991.5235000000002</v>
      </c>
    </row>
    <row r="119" spans="1:15" s="39" customFormat="1" ht="40.049999999999997" customHeight="1" x14ac:dyDescent="0.25">
      <c r="B119" s="169"/>
      <c r="C119" s="386"/>
      <c r="D119" s="159" t="s">
        <v>249</v>
      </c>
      <c r="E119" s="155" t="s">
        <v>51</v>
      </c>
      <c r="F119" s="219" t="s">
        <v>350</v>
      </c>
      <c r="G119" s="173" t="s">
        <v>227</v>
      </c>
      <c r="H119" s="171"/>
      <c r="I119" s="168" t="s">
        <v>31</v>
      </c>
      <c r="J119" s="162">
        <f>K119-K119*$K$3</f>
        <v>210.59</v>
      </c>
      <c r="K119" s="161">
        <f t="shared" si="38"/>
        <v>210.59</v>
      </c>
      <c r="L119" s="36"/>
      <c r="M119" s="36"/>
      <c r="N119" s="214">
        <v>210.59</v>
      </c>
      <c r="O119" s="153">
        <f t="shared" si="39"/>
        <v>221.11950000000002</v>
      </c>
    </row>
    <row r="120" spans="1:15" s="39" customFormat="1" ht="20.100000000000001" customHeight="1" x14ac:dyDescent="0.25">
      <c r="B120" s="730"/>
      <c r="C120" s="373"/>
      <c r="D120" s="689" t="s">
        <v>176</v>
      </c>
      <c r="E120" s="160"/>
      <c r="F120" s="219" t="s">
        <v>339</v>
      </c>
      <c r="G120" s="173" t="s">
        <v>227</v>
      </c>
      <c r="H120" s="721"/>
      <c r="I120" s="718"/>
      <c r="J120" s="162">
        <f t="shared" ref="J120:J122" si="50">K120-K120*$K$3</f>
        <v>414.16</v>
      </c>
      <c r="K120" s="161">
        <f t="shared" si="38"/>
        <v>414.16</v>
      </c>
      <c r="L120" s="36"/>
      <c r="M120" s="36"/>
      <c r="N120" s="226">
        <v>414.16</v>
      </c>
      <c r="O120" s="161">
        <f t="shared" si="39"/>
        <v>434.86800000000005</v>
      </c>
    </row>
    <row r="121" spans="1:15" s="39" customFormat="1" ht="20.100000000000001" customHeight="1" x14ac:dyDescent="0.25">
      <c r="B121" s="731"/>
      <c r="C121" s="374"/>
      <c r="D121" s="696"/>
      <c r="E121" s="160"/>
      <c r="F121" s="219" t="s">
        <v>395</v>
      </c>
      <c r="G121" s="173" t="s">
        <v>132</v>
      </c>
      <c r="H121" s="722"/>
      <c r="I121" s="719"/>
      <c r="J121" s="162">
        <f t="shared" si="50"/>
        <v>414.16</v>
      </c>
      <c r="K121" s="161">
        <f t="shared" si="38"/>
        <v>414.16</v>
      </c>
      <c r="L121" s="36"/>
      <c r="M121" s="36"/>
      <c r="N121" s="226">
        <v>414.16</v>
      </c>
      <c r="O121" s="161">
        <f t="shared" si="39"/>
        <v>434.86800000000005</v>
      </c>
    </row>
    <row r="122" spans="1:15" s="39" customFormat="1" ht="20.100000000000001" customHeight="1" x14ac:dyDescent="0.25">
      <c r="B122" s="732"/>
      <c r="C122" s="375"/>
      <c r="D122" s="690"/>
      <c r="E122" s="160"/>
      <c r="F122" s="219" t="s">
        <v>394</v>
      </c>
      <c r="G122" s="173" t="s">
        <v>137</v>
      </c>
      <c r="H122" s="723"/>
      <c r="I122" s="720"/>
      <c r="J122" s="162">
        <f t="shared" si="50"/>
        <v>414.16</v>
      </c>
      <c r="K122" s="161">
        <f t="shared" si="38"/>
        <v>414.16</v>
      </c>
      <c r="L122" s="36"/>
      <c r="M122" s="36"/>
      <c r="N122" s="226">
        <v>414.16</v>
      </c>
      <c r="O122" s="161">
        <f t="shared" si="39"/>
        <v>434.86800000000005</v>
      </c>
    </row>
    <row r="123" spans="1:15" s="35" customFormat="1" ht="20.100000000000001" customHeight="1" x14ac:dyDescent="0.25">
      <c r="A123" s="24"/>
      <c r="B123" s="715"/>
      <c r="C123" s="381"/>
      <c r="D123" s="702" t="s">
        <v>52</v>
      </c>
      <c r="E123" s="701" t="s">
        <v>47</v>
      </c>
      <c r="F123" s="219" t="s">
        <v>351</v>
      </c>
      <c r="G123" s="173" t="s">
        <v>227</v>
      </c>
      <c r="H123" s="716"/>
      <c r="I123" s="717" t="s">
        <v>48</v>
      </c>
      <c r="J123" s="162">
        <f>K123-K123*$K$3</f>
        <v>815.4</v>
      </c>
      <c r="K123" s="161">
        <f t="shared" si="38"/>
        <v>815.4</v>
      </c>
      <c r="L123" s="36"/>
      <c r="M123" s="36"/>
      <c r="N123" s="225">
        <v>815.4</v>
      </c>
      <c r="O123" s="166">
        <f t="shared" ref="O123:O163" si="51">N123*1.05</f>
        <v>856.17</v>
      </c>
    </row>
    <row r="124" spans="1:15" s="35" customFormat="1" ht="20.100000000000001" customHeight="1" x14ac:dyDescent="0.25">
      <c r="A124" s="24"/>
      <c r="B124" s="715"/>
      <c r="C124" s="381"/>
      <c r="D124" s="702"/>
      <c r="E124" s="701"/>
      <c r="F124" s="219" t="s">
        <v>393</v>
      </c>
      <c r="G124" s="173" t="s">
        <v>132</v>
      </c>
      <c r="H124" s="716"/>
      <c r="I124" s="717"/>
      <c r="J124" s="162">
        <f t="shared" ref="J124:J125" si="52">K124-K124*$K$3</f>
        <v>815.4</v>
      </c>
      <c r="K124" s="161">
        <f t="shared" si="38"/>
        <v>815.4</v>
      </c>
      <c r="L124" s="36"/>
      <c r="M124" s="36"/>
      <c r="N124" s="225">
        <v>815.4</v>
      </c>
      <c r="O124" s="166">
        <f t="shared" ref="O124:O125" si="53">N124*1.05</f>
        <v>856.17</v>
      </c>
    </row>
    <row r="125" spans="1:15" s="35" customFormat="1" ht="20.100000000000001" customHeight="1" x14ac:dyDescent="0.25">
      <c r="A125" s="24"/>
      <c r="B125" s="715"/>
      <c r="C125" s="381"/>
      <c r="D125" s="702"/>
      <c r="E125" s="701"/>
      <c r="F125" s="219" t="s">
        <v>383</v>
      </c>
      <c r="G125" s="173" t="s">
        <v>137</v>
      </c>
      <c r="H125" s="716"/>
      <c r="I125" s="717"/>
      <c r="J125" s="162">
        <f t="shared" si="52"/>
        <v>815.4</v>
      </c>
      <c r="K125" s="161">
        <f t="shared" si="38"/>
        <v>815.4</v>
      </c>
      <c r="L125" s="36"/>
      <c r="M125" s="36"/>
      <c r="N125" s="225">
        <v>815.4</v>
      </c>
      <c r="O125" s="166">
        <f t="shared" si="53"/>
        <v>856.17</v>
      </c>
    </row>
    <row r="126" spans="1:15" s="35" customFormat="1" ht="20.100000000000001" customHeight="1" x14ac:dyDescent="0.25">
      <c r="A126" s="24"/>
      <c r="B126" s="706"/>
      <c r="C126" s="376"/>
      <c r="D126" s="711" t="s">
        <v>230</v>
      </c>
      <c r="E126" s="139" t="s">
        <v>47</v>
      </c>
      <c r="F126" s="219" t="s">
        <v>348</v>
      </c>
      <c r="G126" s="173" t="s">
        <v>227</v>
      </c>
      <c r="H126" s="727"/>
      <c r="I126" s="724" t="s">
        <v>48</v>
      </c>
      <c r="J126" s="162">
        <f t="shared" ref="J126" si="54">K126-K126*$K$3</f>
        <v>2535.88</v>
      </c>
      <c r="K126" s="161">
        <f t="shared" si="38"/>
        <v>2535.88</v>
      </c>
      <c r="L126" s="36"/>
      <c r="M126" s="36"/>
      <c r="N126" s="213">
        <v>2535.88</v>
      </c>
      <c r="O126" s="153">
        <f t="shared" si="51"/>
        <v>2662.6740000000004</v>
      </c>
    </row>
    <row r="127" spans="1:15" s="35" customFormat="1" ht="20.100000000000001" customHeight="1" x14ac:dyDescent="0.25">
      <c r="A127" s="24"/>
      <c r="B127" s="707"/>
      <c r="C127" s="377"/>
      <c r="D127" s="733"/>
      <c r="E127" s="139"/>
      <c r="F127" s="219" t="s">
        <v>346</v>
      </c>
      <c r="G127" s="173" t="s">
        <v>137</v>
      </c>
      <c r="H127" s="728"/>
      <c r="I127" s="725"/>
      <c r="J127" s="162">
        <f t="shared" ref="J127:J129" si="55">K127-K127*$K$3</f>
        <v>2535.88</v>
      </c>
      <c r="K127" s="161">
        <f t="shared" si="38"/>
        <v>2535.88</v>
      </c>
      <c r="L127" s="36"/>
      <c r="M127" s="36"/>
      <c r="N127" s="213">
        <v>2535.88</v>
      </c>
      <c r="O127" s="161">
        <f t="shared" ref="O127:O129" si="56">N127*1.05</f>
        <v>2662.6740000000004</v>
      </c>
    </row>
    <row r="128" spans="1:15" s="35" customFormat="1" ht="20.100000000000001" customHeight="1" x14ac:dyDescent="0.25">
      <c r="A128" s="24"/>
      <c r="B128" s="707"/>
      <c r="C128" s="377"/>
      <c r="D128" s="733"/>
      <c r="E128" s="139"/>
      <c r="F128" s="219" t="s">
        <v>347</v>
      </c>
      <c r="G128" s="173" t="s">
        <v>329</v>
      </c>
      <c r="H128" s="728"/>
      <c r="I128" s="725"/>
      <c r="J128" s="162">
        <f t="shared" si="55"/>
        <v>2535.88</v>
      </c>
      <c r="K128" s="161">
        <f t="shared" si="38"/>
        <v>2535.88</v>
      </c>
      <c r="L128" s="36"/>
      <c r="M128" s="36"/>
      <c r="N128" s="213">
        <v>2535.88</v>
      </c>
      <c r="O128" s="161">
        <f t="shared" si="56"/>
        <v>2662.6740000000004</v>
      </c>
    </row>
    <row r="129" spans="1:15" s="35" customFormat="1" ht="20.100000000000001" customHeight="1" x14ac:dyDescent="0.25">
      <c r="A129" s="24"/>
      <c r="B129" s="708"/>
      <c r="C129" s="378"/>
      <c r="D129" s="712"/>
      <c r="E129" s="139"/>
      <c r="F129" s="219" t="s">
        <v>349</v>
      </c>
      <c r="G129" s="173" t="s">
        <v>132</v>
      </c>
      <c r="H129" s="729"/>
      <c r="I129" s="726"/>
      <c r="J129" s="162">
        <f t="shared" si="55"/>
        <v>2535.88</v>
      </c>
      <c r="K129" s="161">
        <f t="shared" si="38"/>
        <v>2535.88</v>
      </c>
      <c r="L129" s="36"/>
      <c r="M129" s="36"/>
      <c r="N129" s="213">
        <v>2535.88</v>
      </c>
      <c r="O129" s="161">
        <f t="shared" si="56"/>
        <v>2662.6740000000004</v>
      </c>
    </row>
    <row r="130" spans="1:15" s="35" customFormat="1" ht="40.049999999999997" customHeight="1" x14ac:dyDescent="0.25">
      <c r="A130" s="24"/>
      <c r="B130" s="158"/>
      <c r="C130" s="381" t="s">
        <v>22</v>
      </c>
      <c r="D130" s="159" t="s">
        <v>22</v>
      </c>
      <c r="E130" s="37" t="s">
        <v>53</v>
      </c>
      <c r="F130" s="219" t="s">
        <v>352</v>
      </c>
      <c r="G130" s="173" t="s">
        <v>227</v>
      </c>
      <c r="H130" s="167"/>
      <c r="I130" s="168" t="s">
        <v>48</v>
      </c>
      <c r="J130" s="162">
        <f t="shared" ref="J130:J163" si="57">K130-K130*$K$3</f>
        <v>4368.13</v>
      </c>
      <c r="K130" s="161">
        <f t="shared" si="38"/>
        <v>4368.13</v>
      </c>
      <c r="L130" s="36"/>
      <c r="M130" s="36"/>
      <c r="N130" s="212">
        <v>4368.13</v>
      </c>
      <c r="O130" s="153">
        <f t="shared" si="51"/>
        <v>4586.5365000000002</v>
      </c>
    </row>
    <row r="131" spans="1:15" s="35" customFormat="1" ht="40.049999999999997" customHeight="1" x14ac:dyDescent="0.25">
      <c r="A131" s="24"/>
      <c r="B131" s="158"/>
      <c r="C131" s="381"/>
      <c r="D131" s="159" t="s">
        <v>244</v>
      </c>
      <c r="E131" s="37" t="s">
        <v>53</v>
      </c>
      <c r="F131" s="219" t="s">
        <v>380</v>
      </c>
      <c r="G131" s="173" t="s">
        <v>227</v>
      </c>
      <c r="H131" s="167"/>
      <c r="I131" s="168" t="s">
        <v>48</v>
      </c>
      <c r="J131" s="162">
        <f t="shared" si="57"/>
        <v>4308.78</v>
      </c>
      <c r="K131" s="161">
        <f t="shared" si="38"/>
        <v>4308.78</v>
      </c>
      <c r="L131" s="36"/>
      <c r="M131" s="36"/>
      <c r="N131" s="212">
        <v>4308.78</v>
      </c>
      <c r="O131" s="153">
        <f t="shared" si="51"/>
        <v>4524.2190000000001</v>
      </c>
    </row>
    <row r="132" spans="1:15" s="35" customFormat="1" ht="40.049999999999997" customHeight="1" x14ac:dyDescent="0.3">
      <c r="A132" s="24"/>
      <c r="B132" s="175"/>
      <c r="C132" s="175"/>
      <c r="D132" s="223" t="s">
        <v>248</v>
      </c>
      <c r="E132" s="139" t="s">
        <v>242</v>
      </c>
      <c r="F132" s="219" t="s">
        <v>379</v>
      </c>
      <c r="G132" s="173" t="s">
        <v>227</v>
      </c>
      <c r="H132" s="44"/>
      <c r="I132" s="170" t="s">
        <v>48</v>
      </c>
      <c r="J132" s="45">
        <f t="shared" ref="J132" si="58">K132-K132*$K$3</f>
        <v>1774.19</v>
      </c>
      <c r="K132" s="211">
        <f t="shared" si="38"/>
        <v>1774.19</v>
      </c>
      <c r="L132" s="36"/>
      <c r="M132" s="36"/>
      <c r="N132" s="212">
        <v>1774.19</v>
      </c>
      <c r="O132" s="211">
        <f t="shared" ref="O132" si="59">N132*1.05</f>
        <v>1862.8995000000002</v>
      </c>
    </row>
    <row r="133" spans="1:15" s="35" customFormat="1" ht="39.9" customHeight="1" x14ac:dyDescent="0.25">
      <c r="A133" s="24"/>
      <c r="B133" s="158"/>
      <c r="C133" s="381"/>
      <c r="D133" s="159" t="s">
        <v>54</v>
      </c>
      <c r="E133" s="155" t="s">
        <v>55</v>
      </c>
      <c r="F133" s="219" t="s">
        <v>353</v>
      </c>
      <c r="G133" s="173" t="s">
        <v>227</v>
      </c>
      <c r="H133" s="167"/>
      <c r="I133" s="168" t="s">
        <v>48</v>
      </c>
      <c r="J133" s="162">
        <f t="shared" si="57"/>
        <v>3471.2</v>
      </c>
      <c r="K133" s="161">
        <f t="shared" ref="K133:K164" si="60">IF($K$2=$N$2,N133,O133)</f>
        <v>3471.2</v>
      </c>
      <c r="L133" s="36"/>
      <c r="M133" s="36"/>
      <c r="N133" s="212">
        <v>3471.2</v>
      </c>
      <c r="O133" s="153">
        <f t="shared" si="51"/>
        <v>3644.7599999999998</v>
      </c>
    </row>
    <row r="134" spans="1:15" s="35" customFormat="1" ht="20.100000000000001" customHeight="1" x14ac:dyDescent="0.25">
      <c r="A134" s="24"/>
      <c r="B134" s="715"/>
      <c r="C134" s="381"/>
      <c r="D134" s="702" t="s">
        <v>56</v>
      </c>
      <c r="E134" s="701"/>
      <c r="F134" s="219" t="s">
        <v>354</v>
      </c>
      <c r="G134" s="173" t="s">
        <v>57</v>
      </c>
      <c r="H134" s="716"/>
      <c r="I134" s="717" t="s">
        <v>31</v>
      </c>
      <c r="J134" s="162">
        <f t="shared" si="57"/>
        <v>14.06</v>
      </c>
      <c r="K134" s="161">
        <f t="shared" si="60"/>
        <v>14.06</v>
      </c>
      <c r="L134" s="36"/>
      <c r="M134" s="36"/>
      <c r="N134" s="225">
        <v>14.06</v>
      </c>
      <c r="O134" s="166">
        <f t="shared" si="51"/>
        <v>14.763000000000002</v>
      </c>
    </row>
    <row r="135" spans="1:15" s="35" customFormat="1" ht="20.100000000000001" customHeight="1" x14ac:dyDescent="0.25">
      <c r="A135" s="24"/>
      <c r="B135" s="715"/>
      <c r="C135" s="381"/>
      <c r="D135" s="702"/>
      <c r="E135" s="701"/>
      <c r="F135" s="219" t="s">
        <v>355</v>
      </c>
      <c r="G135" s="173" t="s">
        <v>49</v>
      </c>
      <c r="H135" s="716"/>
      <c r="I135" s="717"/>
      <c r="J135" s="162">
        <f t="shared" ref="J135:J137" si="61">K135-K135*$K$3</f>
        <v>14.06</v>
      </c>
      <c r="K135" s="161">
        <f t="shared" si="60"/>
        <v>14.06</v>
      </c>
      <c r="L135" s="36"/>
      <c r="M135" s="36"/>
      <c r="N135" s="225">
        <v>14.06</v>
      </c>
      <c r="O135" s="166">
        <f t="shared" ref="O135:O137" si="62">N135*1.05</f>
        <v>14.763000000000002</v>
      </c>
    </row>
    <row r="136" spans="1:15" s="35" customFormat="1" ht="20.100000000000001" customHeight="1" x14ac:dyDescent="0.25">
      <c r="A136" s="24"/>
      <c r="B136" s="715"/>
      <c r="C136" s="381"/>
      <c r="D136" s="702"/>
      <c r="E136" s="701"/>
      <c r="F136" s="219" t="s">
        <v>384</v>
      </c>
      <c r="G136" s="173" t="s">
        <v>328</v>
      </c>
      <c r="H136" s="716"/>
      <c r="I136" s="717"/>
      <c r="J136" s="162">
        <f t="shared" ref="J136" si="63">K136-K136*$K$3</f>
        <v>14.06</v>
      </c>
      <c r="K136" s="161">
        <f t="shared" si="60"/>
        <v>14.06</v>
      </c>
      <c r="L136" s="36"/>
      <c r="M136" s="36"/>
      <c r="N136" s="225">
        <v>14.06</v>
      </c>
      <c r="O136" s="166">
        <f t="shared" ref="O136" si="64">N136*1.05</f>
        <v>14.763000000000002</v>
      </c>
    </row>
    <row r="137" spans="1:15" s="35" customFormat="1" ht="20.100000000000001" customHeight="1" x14ac:dyDescent="0.25">
      <c r="A137" s="24"/>
      <c r="B137" s="715"/>
      <c r="C137" s="381"/>
      <c r="D137" s="702"/>
      <c r="E137" s="701"/>
      <c r="F137" s="219" t="s">
        <v>396</v>
      </c>
      <c r="G137" s="173" t="s">
        <v>132</v>
      </c>
      <c r="H137" s="716"/>
      <c r="I137" s="717"/>
      <c r="J137" s="162">
        <f t="shared" si="61"/>
        <v>14.06</v>
      </c>
      <c r="K137" s="161">
        <f t="shared" si="60"/>
        <v>14.06</v>
      </c>
      <c r="L137" s="36"/>
      <c r="M137" s="36"/>
      <c r="N137" s="225">
        <v>14.06</v>
      </c>
      <c r="O137" s="166">
        <f t="shared" si="62"/>
        <v>14.763000000000002</v>
      </c>
    </row>
    <row r="138" spans="1:15" s="35" customFormat="1" ht="40.049999999999997" customHeight="1" x14ac:dyDescent="0.25">
      <c r="A138" s="24"/>
      <c r="B138" s="158"/>
      <c r="C138" s="381"/>
      <c r="D138" s="159" t="s">
        <v>58</v>
      </c>
      <c r="E138" s="155" t="s">
        <v>59</v>
      </c>
      <c r="F138" s="219" t="s">
        <v>356</v>
      </c>
      <c r="G138" s="173" t="s">
        <v>227</v>
      </c>
      <c r="H138" s="167"/>
      <c r="I138" s="168" t="s">
        <v>31</v>
      </c>
      <c r="J138" s="174">
        <f t="shared" si="57"/>
        <v>716</v>
      </c>
      <c r="K138" s="161">
        <f t="shared" si="60"/>
        <v>716</v>
      </c>
      <c r="L138" s="36"/>
      <c r="M138" s="36"/>
      <c r="N138" s="214">
        <v>716</v>
      </c>
      <c r="O138" s="153">
        <f t="shared" si="51"/>
        <v>751.80000000000007</v>
      </c>
    </row>
    <row r="139" spans="1:15" s="35" customFormat="1" ht="20.100000000000001" customHeight="1" x14ac:dyDescent="0.25">
      <c r="A139" s="24"/>
      <c r="B139" s="715"/>
      <c r="C139" s="381"/>
      <c r="D139" s="702" t="s">
        <v>141</v>
      </c>
      <c r="E139" s="701" t="s">
        <v>59</v>
      </c>
      <c r="F139" s="219" t="s">
        <v>357</v>
      </c>
      <c r="G139" s="173" t="s">
        <v>227</v>
      </c>
      <c r="H139" s="716"/>
      <c r="I139" s="717" t="s">
        <v>31</v>
      </c>
      <c r="J139" s="162">
        <f t="shared" si="57"/>
        <v>487.37</v>
      </c>
      <c r="K139" s="161">
        <f t="shared" si="60"/>
        <v>487.37</v>
      </c>
      <c r="L139" s="36"/>
      <c r="M139" s="36"/>
      <c r="N139" s="225">
        <v>487.37</v>
      </c>
      <c r="O139" s="166">
        <f t="shared" si="51"/>
        <v>511.73850000000004</v>
      </c>
    </row>
    <row r="140" spans="1:15" s="35" customFormat="1" ht="20.100000000000001" customHeight="1" x14ac:dyDescent="0.25">
      <c r="A140" s="24"/>
      <c r="B140" s="715"/>
      <c r="C140" s="381"/>
      <c r="D140" s="702"/>
      <c r="E140" s="701"/>
      <c r="F140" s="219" t="s">
        <v>397</v>
      </c>
      <c r="G140" s="173" t="s">
        <v>132</v>
      </c>
      <c r="H140" s="716"/>
      <c r="I140" s="717"/>
      <c r="J140" s="162">
        <f t="shared" ref="J140:J144" si="65">K140-K140*$K$3</f>
        <v>487.37</v>
      </c>
      <c r="K140" s="161">
        <f t="shared" si="60"/>
        <v>487.37</v>
      </c>
      <c r="L140" s="36"/>
      <c r="M140" s="36"/>
      <c r="N140" s="225">
        <v>487.37</v>
      </c>
      <c r="O140" s="166">
        <f t="shared" ref="O140:O144" si="66">N140*1.05</f>
        <v>511.73850000000004</v>
      </c>
    </row>
    <row r="141" spans="1:15" s="35" customFormat="1" ht="20.100000000000001" customHeight="1" x14ac:dyDescent="0.25">
      <c r="A141" s="24"/>
      <c r="B141" s="715"/>
      <c r="C141" s="381"/>
      <c r="D141" s="702"/>
      <c r="E141" s="701"/>
      <c r="F141" s="219" t="s">
        <v>385</v>
      </c>
      <c r="G141" s="173" t="s">
        <v>137</v>
      </c>
      <c r="H141" s="716"/>
      <c r="I141" s="717"/>
      <c r="J141" s="162">
        <f t="shared" si="65"/>
        <v>487.37</v>
      </c>
      <c r="K141" s="161">
        <f t="shared" si="60"/>
        <v>487.37</v>
      </c>
      <c r="L141" s="36"/>
      <c r="M141" s="36"/>
      <c r="N141" s="225">
        <v>487.37</v>
      </c>
      <c r="O141" s="166">
        <f t="shared" si="66"/>
        <v>511.73850000000004</v>
      </c>
    </row>
    <row r="142" spans="1:15" s="35" customFormat="1" ht="20.100000000000001" customHeight="1" x14ac:dyDescent="0.25">
      <c r="A142" s="24"/>
      <c r="B142" s="715"/>
      <c r="C142" s="381"/>
      <c r="D142" s="702" t="s">
        <v>142</v>
      </c>
      <c r="E142" s="701"/>
      <c r="F142" s="219" t="s">
        <v>358</v>
      </c>
      <c r="G142" s="173" t="s">
        <v>227</v>
      </c>
      <c r="H142" s="716"/>
      <c r="I142" s="717"/>
      <c r="J142" s="162">
        <f t="shared" si="65"/>
        <v>487.37</v>
      </c>
      <c r="K142" s="161">
        <f t="shared" si="60"/>
        <v>487.37</v>
      </c>
      <c r="L142" s="36"/>
      <c r="M142" s="36"/>
      <c r="N142" s="225">
        <v>487.37</v>
      </c>
      <c r="O142" s="166">
        <f t="shared" si="66"/>
        <v>511.73850000000004</v>
      </c>
    </row>
    <row r="143" spans="1:15" s="35" customFormat="1" ht="20.100000000000001" customHeight="1" x14ac:dyDescent="0.25">
      <c r="A143" s="24"/>
      <c r="B143" s="715"/>
      <c r="C143" s="381"/>
      <c r="D143" s="702"/>
      <c r="E143" s="701"/>
      <c r="F143" s="219" t="s">
        <v>398</v>
      </c>
      <c r="G143" s="173" t="s">
        <v>132</v>
      </c>
      <c r="H143" s="716"/>
      <c r="I143" s="717"/>
      <c r="J143" s="162">
        <f t="shared" si="65"/>
        <v>487.37</v>
      </c>
      <c r="K143" s="161">
        <f t="shared" si="60"/>
        <v>487.37</v>
      </c>
      <c r="L143" s="36"/>
      <c r="M143" s="36"/>
      <c r="N143" s="225">
        <v>487.37</v>
      </c>
      <c r="O143" s="166">
        <f t="shared" si="66"/>
        <v>511.73850000000004</v>
      </c>
    </row>
    <row r="144" spans="1:15" s="35" customFormat="1" ht="20.100000000000001" customHeight="1" x14ac:dyDescent="0.25">
      <c r="A144" s="24"/>
      <c r="B144" s="715"/>
      <c r="C144" s="381"/>
      <c r="D144" s="702"/>
      <c r="E144" s="701"/>
      <c r="F144" s="219" t="s">
        <v>386</v>
      </c>
      <c r="G144" s="173" t="s">
        <v>137</v>
      </c>
      <c r="H144" s="716"/>
      <c r="I144" s="717"/>
      <c r="J144" s="162">
        <f t="shared" si="65"/>
        <v>487.37</v>
      </c>
      <c r="K144" s="161">
        <f t="shared" si="60"/>
        <v>487.37</v>
      </c>
      <c r="L144" s="36"/>
      <c r="M144" s="36"/>
      <c r="N144" s="225">
        <v>487.37</v>
      </c>
      <c r="O144" s="166">
        <f t="shared" si="66"/>
        <v>511.73850000000004</v>
      </c>
    </row>
    <row r="145" spans="1:15" s="35" customFormat="1" ht="20.100000000000001" customHeight="1" x14ac:dyDescent="0.25">
      <c r="A145" s="24"/>
      <c r="B145" s="715"/>
      <c r="C145" s="381"/>
      <c r="D145" s="702" t="s">
        <v>60</v>
      </c>
      <c r="E145" s="701" t="s">
        <v>59</v>
      </c>
      <c r="F145" s="219" t="s">
        <v>359</v>
      </c>
      <c r="G145" s="173" t="s">
        <v>227</v>
      </c>
      <c r="H145" s="716"/>
      <c r="I145" s="717" t="s">
        <v>31</v>
      </c>
      <c r="J145" s="162">
        <f t="shared" si="57"/>
        <v>565.6</v>
      </c>
      <c r="K145" s="161">
        <f t="shared" si="60"/>
        <v>565.6</v>
      </c>
      <c r="L145" s="36"/>
      <c r="M145" s="36"/>
      <c r="N145" s="225">
        <v>565.6</v>
      </c>
      <c r="O145" s="166">
        <f t="shared" si="51"/>
        <v>593.88</v>
      </c>
    </row>
    <row r="146" spans="1:15" s="35" customFormat="1" ht="20.100000000000001" customHeight="1" x14ac:dyDescent="0.25">
      <c r="A146" s="24"/>
      <c r="B146" s="715"/>
      <c r="C146" s="381"/>
      <c r="D146" s="702"/>
      <c r="E146" s="701"/>
      <c r="F146" s="219" t="s">
        <v>399</v>
      </c>
      <c r="G146" s="173" t="s">
        <v>132</v>
      </c>
      <c r="H146" s="716"/>
      <c r="I146" s="717"/>
      <c r="J146" s="162">
        <f t="shared" ref="J146:J147" si="67">K146-K146*$K$3</f>
        <v>565.6</v>
      </c>
      <c r="K146" s="161">
        <f t="shared" si="60"/>
        <v>565.6</v>
      </c>
      <c r="L146" s="36"/>
      <c r="M146" s="36"/>
      <c r="N146" s="225">
        <v>565.6</v>
      </c>
      <c r="O146" s="166">
        <f t="shared" ref="O146:O147" si="68">N146*1.05</f>
        <v>593.88</v>
      </c>
    </row>
    <row r="147" spans="1:15" s="35" customFormat="1" ht="20.100000000000001" customHeight="1" x14ac:dyDescent="0.25">
      <c r="A147" s="24"/>
      <c r="B147" s="715"/>
      <c r="C147" s="381"/>
      <c r="D147" s="702"/>
      <c r="E147" s="701"/>
      <c r="F147" s="219" t="s">
        <v>387</v>
      </c>
      <c r="G147" s="173" t="s">
        <v>137</v>
      </c>
      <c r="H147" s="716"/>
      <c r="I147" s="717"/>
      <c r="J147" s="162">
        <f t="shared" si="67"/>
        <v>565.6</v>
      </c>
      <c r="K147" s="161">
        <f t="shared" si="60"/>
        <v>565.6</v>
      </c>
      <c r="L147" s="36"/>
      <c r="M147" s="36"/>
      <c r="N147" s="225">
        <v>565.6</v>
      </c>
      <c r="O147" s="166">
        <f t="shared" si="68"/>
        <v>593.88</v>
      </c>
    </row>
    <row r="148" spans="1:15" s="35" customFormat="1" ht="40.049999999999997" customHeight="1" x14ac:dyDescent="0.25">
      <c r="A148" s="40"/>
      <c r="B148" s="176"/>
      <c r="C148" s="382"/>
      <c r="D148" s="159" t="s">
        <v>61</v>
      </c>
      <c r="E148" s="170" t="s">
        <v>41</v>
      </c>
      <c r="F148" s="219" t="s">
        <v>360</v>
      </c>
      <c r="G148" s="173" t="s">
        <v>227</v>
      </c>
      <c r="H148" s="177"/>
      <c r="I148" s="170" t="s">
        <v>31</v>
      </c>
      <c r="J148" s="162">
        <f t="shared" si="57"/>
        <v>52.65</v>
      </c>
      <c r="K148" s="161">
        <f t="shared" si="60"/>
        <v>52.65</v>
      </c>
      <c r="L148" s="36"/>
      <c r="M148" s="36"/>
      <c r="N148" s="215">
        <v>52.65</v>
      </c>
      <c r="O148" s="153">
        <f t="shared" si="51"/>
        <v>55.282499999999999</v>
      </c>
    </row>
    <row r="149" spans="1:15" s="35" customFormat="1" ht="40.049999999999997" customHeight="1" x14ac:dyDescent="0.25">
      <c r="A149" s="24"/>
      <c r="B149" s="158"/>
      <c r="C149" s="381"/>
      <c r="D149" s="159" t="s">
        <v>62</v>
      </c>
      <c r="E149" s="155" t="s">
        <v>41</v>
      </c>
      <c r="F149" s="219" t="s">
        <v>361</v>
      </c>
      <c r="G149" s="173" t="s">
        <v>227</v>
      </c>
      <c r="H149" s="167"/>
      <c r="I149" s="168" t="s">
        <v>31</v>
      </c>
      <c r="J149" s="162">
        <f t="shared" si="57"/>
        <v>60.56</v>
      </c>
      <c r="K149" s="161">
        <f t="shared" si="60"/>
        <v>60.56</v>
      </c>
      <c r="L149" s="36"/>
      <c r="M149" s="36"/>
      <c r="N149" s="214">
        <v>60.56</v>
      </c>
      <c r="O149" s="153">
        <f t="shared" si="51"/>
        <v>63.588000000000008</v>
      </c>
    </row>
    <row r="150" spans="1:15" s="35" customFormat="1" ht="40.049999999999997" customHeight="1" x14ac:dyDescent="0.25">
      <c r="A150" s="40"/>
      <c r="B150" s="176"/>
      <c r="C150" s="382"/>
      <c r="D150" s="159" t="s">
        <v>63</v>
      </c>
      <c r="E150" s="170" t="s">
        <v>41</v>
      </c>
      <c r="F150" s="219" t="s">
        <v>362</v>
      </c>
      <c r="G150" s="173" t="s">
        <v>227</v>
      </c>
      <c r="H150" s="177"/>
      <c r="I150" s="170" t="s">
        <v>31</v>
      </c>
      <c r="J150" s="162">
        <f t="shared" si="57"/>
        <v>311.57</v>
      </c>
      <c r="K150" s="161">
        <f t="shared" si="60"/>
        <v>311.57</v>
      </c>
      <c r="L150" s="36"/>
      <c r="M150" s="36"/>
      <c r="N150" s="214">
        <v>311.57</v>
      </c>
      <c r="O150" s="153">
        <f t="shared" si="51"/>
        <v>327.14850000000001</v>
      </c>
    </row>
    <row r="151" spans="1:15" s="35" customFormat="1" ht="40.049999999999997" customHeight="1" x14ac:dyDescent="0.25">
      <c r="A151" s="40" t="s">
        <v>64</v>
      </c>
      <c r="B151" s="176"/>
      <c r="C151" s="173" t="s">
        <v>160</v>
      </c>
      <c r="D151" s="159" t="s">
        <v>65</v>
      </c>
      <c r="E151" s="170" t="s">
        <v>53</v>
      </c>
      <c r="F151" s="219" t="s">
        <v>365</v>
      </c>
      <c r="G151" s="173" t="s">
        <v>227</v>
      </c>
      <c r="H151" s="177"/>
      <c r="I151" s="170" t="s">
        <v>48</v>
      </c>
      <c r="J151" s="162">
        <f t="shared" si="57"/>
        <v>3290.67</v>
      </c>
      <c r="K151" s="161">
        <f t="shared" si="60"/>
        <v>3290.67</v>
      </c>
      <c r="L151" s="36"/>
      <c r="M151" s="36"/>
      <c r="N151" s="212">
        <v>3290.67</v>
      </c>
      <c r="O151" s="153">
        <f t="shared" si="51"/>
        <v>3455.2035000000001</v>
      </c>
    </row>
    <row r="152" spans="1:15" s="35" customFormat="1" ht="40.049999999999997" customHeight="1" x14ac:dyDescent="0.25">
      <c r="A152" s="24"/>
      <c r="B152" s="158"/>
      <c r="C152" s="381"/>
      <c r="D152" s="159" t="s">
        <v>66</v>
      </c>
      <c r="E152" s="155" t="s">
        <v>59</v>
      </c>
      <c r="F152" s="219" t="s">
        <v>363</v>
      </c>
      <c r="G152" s="173" t="s">
        <v>227</v>
      </c>
      <c r="H152" s="167"/>
      <c r="I152" s="168" t="s">
        <v>31</v>
      </c>
      <c r="J152" s="162">
        <f t="shared" si="57"/>
        <v>748.1</v>
      </c>
      <c r="K152" s="161">
        <f t="shared" si="60"/>
        <v>748.1</v>
      </c>
      <c r="L152" s="36"/>
      <c r="M152" s="36"/>
      <c r="N152" s="214">
        <v>748.1</v>
      </c>
      <c r="O152" s="153">
        <f t="shared" si="51"/>
        <v>785.50500000000011</v>
      </c>
    </row>
    <row r="153" spans="1:15" s="35" customFormat="1" ht="40.049999999999997" customHeight="1" x14ac:dyDescent="0.25">
      <c r="A153" s="40"/>
      <c r="B153" s="176"/>
      <c r="C153" s="382" t="s">
        <v>67</v>
      </c>
      <c r="D153" s="159" t="s">
        <v>67</v>
      </c>
      <c r="E153" s="170" t="s">
        <v>45</v>
      </c>
      <c r="F153" s="219" t="s">
        <v>364</v>
      </c>
      <c r="G153" s="173" t="s">
        <v>227</v>
      </c>
      <c r="H153" s="37"/>
      <c r="I153" s="170" t="s">
        <v>48</v>
      </c>
      <c r="J153" s="162">
        <f t="shared" si="57"/>
        <v>189.27</v>
      </c>
      <c r="K153" s="161">
        <f t="shared" si="60"/>
        <v>189.27</v>
      </c>
      <c r="L153" s="36"/>
      <c r="M153" s="36"/>
      <c r="N153" s="214">
        <v>189.27</v>
      </c>
      <c r="O153" s="153">
        <f t="shared" si="51"/>
        <v>198.73350000000002</v>
      </c>
    </row>
    <row r="154" spans="1:15" s="35" customFormat="1" ht="20.100000000000001" customHeight="1" x14ac:dyDescent="0.25">
      <c r="A154" s="24"/>
      <c r="B154" s="715"/>
      <c r="C154" s="381"/>
      <c r="D154" s="702" t="s">
        <v>68</v>
      </c>
      <c r="E154" s="701" t="s">
        <v>36</v>
      </c>
      <c r="F154" s="172" t="s">
        <v>366</v>
      </c>
      <c r="G154" s="173" t="s">
        <v>227</v>
      </c>
      <c r="H154" s="716"/>
      <c r="I154" s="717" t="s">
        <v>31</v>
      </c>
      <c r="J154" s="162">
        <f t="shared" si="57"/>
        <v>751.74</v>
      </c>
      <c r="K154" s="161">
        <f t="shared" si="60"/>
        <v>751.74</v>
      </c>
      <c r="L154" s="36"/>
      <c r="M154" s="36"/>
      <c r="N154" s="225">
        <v>751.74</v>
      </c>
      <c r="O154" s="166">
        <f t="shared" si="51"/>
        <v>789.327</v>
      </c>
    </row>
    <row r="155" spans="1:15" s="35" customFormat="1" ht="20.100000000000001" customHeight="1" x14ac:dyDescent="0.25">
      <c r="A155" s="24"/>
      <c r="B155" s="715"/>
      <c r="C155" s="381"/>
      <c r="D155" s="702"/>
      <c r="E155" s="701"/>
      <c r="F155" s="219" t="s">
        <v>400</v>
      </c>
      <c r="G155" s="173" t="s">
        <v>132</v>
      </c>
      <c r="H155" s="716"/>
      <c r="I155" s="717"/>
      <c r="J155" s="162">
        <f t="shared" ref="J155:J156" si="69">K155-K155*$K$3</f>
        <v>751.74</v>
      </c>
      <c r="K155" s="161">
        <f t="shared" si="60"/>
        <v>751.74</v>
      </c>
      <c r="L155" s="36"/>
      <c r="M155" s="36"/>
      <c r="N155" s="225">
        <v>751.74</v>
      </c>
      <c r="O155" s="166">
        <f t="shared" ref="O155:O156" si="70">N155*1.05</f>
        <v>789.327</v>
      </c>
    </row>
    <row r="156" spans="1:15" s="35" customFormat="1" ht="20.100000000000001" customHeight="1" x14ac:dyDescent="0.25">
      <c r="A156" s="24"/>
      <c r="B156" s="715"/>
      <c r="C156" s="381"/>
      <c r="D156" s="702"/>
      <c r="E156" s="701"/>
      <c r="F156" s="219" t="s">
        <v>388</v>
      </c>
      <c r="G156" s="173" t="s">
        <v>137</v>
      </c>
      <c r="H156" s="716"/>
      <c r="I156" s="717"/>
      <c r="J156" s="162">
        <f t="shared" si="69"/>
        <v>751.74</v>
      </c>
      <c r="K156" s="161">
        <f t="shared" si="60"/>
        <v>751.74</v>
      </c>
      <c r="L156" s="36"/>
      <c r="M156" s="36"/>
      <c r="N156" s="225">
        <v>751.74</v>
      </c>
      <c r="O156" s="166">
        <f t="shared" si="70"/>
        <v>789.327</v>
      </c>
    </row>
    <row r="157" spans="1:15" s="35" customFormat="1" ht="40.049999999999997" customHeight="1" x14ac:dyDescent="0.25">
      <c r="A157" s="24"/>
      <c r="B157" s="158"/>
      <c r="C157" s="381"/>
      <c r="D157" s="159" t="s">
        <v>69</v>
      </c>
      <c r="E157" s="155" t="s">
        <v>70</v>
      </c>
      <c r="F157" s="219" t="s">
        <v>367</v>
      </c>
      <c r="G157" s="173" t="s">
        <v>227</v>
      </c>
      <c r="H157" s="167"/>
      <c r="I157" s="168" t="s">
        <v>31</v>
      </c>
      <c r="J157" s="162">
        <f t="shared" si="57"/>
        <v>8.33</v>
      </c>
      <c r="K157" s="161">
        <f t="shared" si="60"/>
        <v>8.33</v>
      </c>
      <c r="L157" s="36"/>
      <c r="M157" s="36"/>
      <c r="N157" s="214">
        <v>8.33</v>
      </c>
      <c r="O157" s="153">
        <f t="shared" si="51"/>
        <v>8.7465000000000011</v>
      </c>
    </row>
    <row r="158" spans="1:15" s="42" customFormat="1" ht="40.049999999999997" customHeight="1" x14ac:dyDescent="0.25">
      <c r="A158" s="41"/>
      <c r="B158" s="178"/>
      <c r="C158" s="178"/>
      <c r="D158" s="159" t="s">
        <v>71</v>
      </c>
      <c r="E158" s="170" t="s">
        <v>72</v>
      </c>
      <c r="F158" s="219" t="s">
        <v>370</v>
      </c>
      <c r="G158" s="173" t="s">
        <v>227</v>
      </c>
      <c r="H158" s="167"/>
      <c r="I158" s="168" t="s">
        <v>48</v>
      </c>
      <c r="J158" s="162">
        <f t="shared" si="57"/>
        <v>235.89</v>
      </c>
      <c r="K158" s="161">
        <f t="shared" si="60"/>
        <v>235.89</v>
      </c>
      <c r="L158" s="36"/>
      <c r="M158" s="36"/>
      <c r="N158" s="214">
        <v>235.89</v>
      </c>
      <c r="O158" s="153">
        <f t="shared" si="51"/>
        <v>247.68449999999999</v>
      </c>
    </row>
    <row r="159" spans="1:15" s="35" customFormat="1" ht="40.049999999999997" customHeight="1" x14ac:dyDescent="0.25">
      <c r="A159" s="24"/>
      <c r="B159" s="158"/>
      <c r="C159" s="381" t="s">
        <v>73</v>
      </c>
      <c r="D159" s="159" t="s">
        <v>73</v>
      </c>
      <c r="E159" s="170" t="s">
        <v>143</v>
      </c>
      <c r="F159" s="219" t="s">
        <v>372</v>
      </c>
      <c r="G159" s="173"/>
      <c r="H159" s="167"/>
      <c r="I159" s="168" t="s">
        <v>48</v>
      </c>
      <c r="J159" s="162">
        <f t="shared" si="57"/>
        <v>592.29</v>
      </c>
      <c r="K159" s="161">
        <f t="shared" si="60"/>
        <v>592.29</v>
      </c>
      <c r="L159" s="36"/>
      <c r="M159" s="36"/>
      <c r="N159" s="214">
        <v>592.29</v>
      </c>
      <c r="O159" s="153">
        <f t="shared" si="51"/>
        <v>621.90449999999998</v>
      </c>
    </row>
    <row r="160" spans="1:15" s="35" customFormat="1" ht="40.049999999999997" customHeight="1" x14ac:dyDescent="0.25">
      <c r="A160" s="24"/>
      <c r="B160" s="158"/>
      <c r="C160" s="381" t="s">
        <v>74</v>
      </c>
      <c r="D160" s="159" t="s">
        <v>74</v>
      </c>
      <c r="E160" s="170" t="s">
        <v>75</v>
      </c>
      <c r="F160" s="219" t="s">
        <v>371</v>
      </c>
      <c r="G160" s="173" t="s">
        <v>227</v>
      </c>
      <c r="H160" s="167"/>
      <c r="I160" s="168" t="s">
        <v>31</v>
      </c>
      <c r="J160" s="162">
        <f t="shared" si="57"/>
        <v>133.72</v>
      </c>
      <c r="K160" s="161">
        <f t="shared" si="60"/>
        <v>133.72</v>
      </c>
      <c r="L160" s="36"/>
      <c r="M160" s="36"/>
      <c r="N160" s="214">
        <v>133.72</v>
      </c>
      <c r="O160" s="153">
        <f t="shared" si="51"/>
        <v>140.40600000000001</v>
      </c>
    </row>
    <row r="161" spans="1:15" s="34" customFormat="1" ht="40.049999999999997" customHeight="1" x14ac:dyDescent="0.25">
      <c r="A161" s="164"/>
      <c r="B161" s="179"/>
      <c r="C161" s="179"/>
      <c r="D161" s="159" t="s">
        <v>144</v>
      </c>
      <c r="E161" s="155" t="s">
        <v>36</v>
      </c>
      <c r="F161" s="219" t="s">
        <v>369</v>
      </c>
      <c r="G161" s="173" t="s">
        <v>227</v>
      </c>
      <c r="H161" s="43"/>
      <c r="I161" s="158" t="s">
        <v>31</v>
      </c>
      <c r="J161" s="162">
        <f t="shared" si="57"/>
        <v>140.43</v>
      </c>
      <c r="K161" s="161">
        <f t="shared" si="60"/>
        <v>140.43</v>
      </c>
      <c r="L161" s="36"/>
      <c r="M161" s="36"/>
      <c r="N161" s="214">
        <v>140.43</v>
      </c>
      <c r="O161" s="153">
        <f t="shared" si="51"/>
        <v>147.45150000000001</v>
      </c>
    </row>
    <row r="162" spans="1:15" s="34" customFormat="1" ht="40.049999999999997" customHeight="1" x14ac:dyDescent="0.25">
      <c r="A162" s="164"/>
      <c r="B162" s="179"/>
      <c r="C162" s="179"/>
      <c r="D162" s="159" t="s">
        <v>145</v>
      </c>
      <c r="E162" s="155" t="s">
        <v>36</v>
      </c>
      <c r="F162" s="219" t="s">
        <v>368</v>
      </c>
      <c r="G162" s="173" t="s">
        <v>227</v>
      </c>
      <c r="H162" s="43"/>
      <c r="I162" s="158" t="s">
        <v>31</v>
      </c>
      <c r="J162" s="162">
        <f t="shared" si="57"/>
        <v>105.3</v>
      </c>
      <c r="K162" s="161">
        <f t="shared" si="60"/>
        <v>105.3</v>
      </c>
      <c r="L162" s="36"/>
      <c r="M162" s="36"/>
      <c r="N162" s="214">
        <v>105.3</v>
      </c>
      <c r="O162" s="153">
        <f t="shared" si="51"/>
        <v>110.565</v>
      </c>
    </row>
    <row r="163" spans="1:15" s="35" customFormat="1" ht="21.15" customHeight="1" x14ac:dyDescent="0.25">
      <c r="A163" s="24"/>
      <c r="B163" s="693"/>
      <c r="C163" s="370"/>
      <c r="D163" s="689" t="s">
        <v>76</v>
      </c>
      <c r="E163" s="37" t="s">
        <v>77</v>
      </c>
      <c r="F163" s="219" t="s">
        <v>376</v>
      </c>
      <c r="G163" s="173" t="s">
        <v>332</v>
      </c>
      <c r="H163" s="693"/>
      <c r="I163" s="706" t="s">
        <v>50</v>
      </c>
      <c r="J163" s="162">
        <f t="shared" si="57"/>
        <v>103.79</v>
      </c>
      <c r="K163" s="161">
        <f t="shared" si="60"/>
        <v>103.79</v>
      </c>
      <c r="L163" s="36"/>
      <c r="M163" s="36"/>
      <c r="N163" s="214">
        <v>103.79</v>
      </c>
      <c r="O163" s="153">
        <f t="shared" si="51"/>
        <v>108.97950000000002</v>
      </c>
    </row>
    <row r="164" spans="1:15" s="35" customFormat="1" ht="21.15" customHeight="1" x14ac:dyDescent="0.25">
      <c r="A164" s="24"/>
      <c r="B164" s="694"/>
      <c r="C164" s="371"/>
      <c r="D164" s="696"/>
      <c r="E164" s="173"/>
      <c r="F164" s="219" t="s">
        <v>375</v>
      </c>
      <c r="G164" s="173" t="s">
        <v>329</v>
      </c>
      <c r="H164" s="694"/>
      <c r="I164" s="707"/>
      <c r="J164" s="162">
        <f t="shared" ref="J164:J166" si="71">K164-K164*$K$3</f>
        <v>103.79</v>
      </c>
      <c r="K164" s="161">
        <f t="shared" si="60"/>
        <v>103.79</v>
      </c>
      <c r="L164" s="36"/>
      <c r="M164" s="36"/>
      <c r="N164" s="214">
        <v>103.79</v>
      </c>
      <c r="O164" s="161">
        <f t="shared" ref="O164:O166" si="72">N164*1.05</f>
        <v>108.97950000000002</v>
      </c>
    </row>
    <row r="165" spans="1:15" s="35" customFormat="1" ht="21.15" customHeight="1" x14ac:dyDescent="0.25">
      <c r="A165" s="24"/>
      <c r="B165" s="694"/>
      <c r="C165" s="371"/>
      <c r="D165" s="696"/>
      <c r="E165" s="173"/>
      <c r="F165" s="219" t="s">
        <v>390</v>
      </c>
      <c r="G165" s="173" t="s">
        <v>328</v>
      </c>
      <c r="H165" s="694"/>
      <c r="I165" s="707"/>
      <c r="J165" s="162">
        <f t="shared" si="71"/>
        <v>103.79</v>
      </c>
      <c r="K165" s="161">
        <f t="shared" ref="K165:K171" si="73">IF($K$2=$N$2,N165,O165)</f>
        <v>103.79</v>
      </c>
      <c r="L165" s="36"/>
      <c r="M165" s="36"/>
      <c r="N165" s="214">
        <v>103.79</v>
      </c>
      <c r="O165" s="161">
        <f t="shared" si="72"/>
        <v>108.97950000000002</v>
      </c>
    </row>
    <row r="166" spans="1:15" s="35" customFormat="1" ht="21.15" customHeight="1" x14ac:dyDescent="0.25">
      <c r="A166" s="24"/>
      <c r="B166" s="695"/>
      <c r="C166" s="372"/>
      <c r="D166" s="690"/>
      <c r="E166" s="173"/>
      <c r="F166" s="219" t="s">
        <v>402</v>
      </c>
      <c r="G166" s="173" t="s">
        <v>327</v>
      </c>
      <c r="H166" s="695"/>
      <c r="I166" s="708"/>
      <c r="J166" s="162">
        <f t="shared" si="71"/>
        <v>103.79</v>
      </c>
      <c r="K166" s="161">
        <f t="shared" si="73"/>
        <v>103.79</v>
      </c>
      <c r="L166" s="36"/>
      <c r="M166" s="36"/>
      <c r="N166" s="214">
        <v>103.79</v>
      </c>
      <c r="O166" s="161">
        <f t="shared" si="72"/>
        <v>108.97950000000002</v>
      </c>
    </row>
    <row r="167" spans="1:15" ht="21.15" customHeight="1" x14ac:dyDescent="0.3">
      <c r="B167" s="709"/>
      <c r="C167" s="379"/>
      <c r="D167" s="711" t="s">
        <v>241</v>
      </c>
      <c r="E167" s="139" t="s">
        <v>242</v>
      </c>
      <c r="F167" s="219" t="s">
        <v>378</v>
      </c>
      <c r="G167" s="139" t="s">
        <v>332</v>
      </c>
      <c r="H167" s="703"/>
      <c r="I167" s="713" t="s">
        <v>50</v>
      </c>
      <c r="J167" s="45">
        <f t="shared" ref="J167" si="74">K167-K167*$K$3</f>
        <v>33.47</v>
      </c>
      <c r="K167" s="211">
        <f t="shared" si="73"/>
        <v>33.47</v>
      </c>
      <c r="L167" s="36"/>
      <c r="M167" s="36"/>
      <c r="N167" s="214">
        <v>33.47</v>
      </c>
      <c r="O167" s="211">
        <f>N167*1.05</f>
        <v>35.143500000000003</v>
      </c>
    </row>
    <row r="168" spans="1:15" ht="21.15" customHeight="1" x14ac:dyDescent="0.3">
      <c r="B168" s="710"/>
      <c r="C168" s="380"/>
      <c r="D168" s="712"/>
      <c r="E168" s="139"/>
      <c r="F168" s="219" t="s">
        <v>377</v>
      </c>
      <c r="G168" s="139" t="s">
        <v>328</v>
      </c>
      <c r="H168" s="705"/>
      <c r="I168" s="714"/>
      <c r="J168" s="45">
        <f t="shared" ref="J168:J171" si="75">K168-K168*$K$3</f>
        <v>33.47</v>
      </c>
      <c r="K168" s="211">
        <f t="shared" si="73"/>
        <v>33.47</v>
      </c>
      <c r="L168" s="36"/>
      <c r="M168" s="36"/>
      <c r="N168" s="214">
        <v>33.47</v>
      </c>
      <c r="O168" s="211">
        <f>N168*1.05</f>
        <v>35.143500000000003</v>
      </c>
    </row>
    <row r="169" spans="1:15" ht="20.100000000000001" customHeight="1" x14ac:dyDescent="0.3">
      <c r="B169" s="715"/>
      <c r="C169" s="381"/>
      <c r="D169" s="702" t="s">
        <v>458</v>
      </c>
      <c r="E169" s="701" t="s">
        <v>36</v>
      </c>
      <c r="F169" s="368" t="s">
        <v>459</v>
      </c>
      <c r="G169" s="139" t="s">
        <v>328</v>
      </c>
      <c r="H169" s="716"/>
      <c r="I169" s="717" t="s">
        <v>31</v>
      </c>
      <c r="J169" s="162">
        <f t="shared" si="75"/>
        <v>61.71</v>
      </c>
      <c r="K169" s="161">
        <f t="shared" si="73"/>
        <v>61.71</v>
      </c>
      <c r="L169" s="36"/>
      <c r="M169" s="36"/>
      <c r="N169" s="214">
        <v>61.71</v>
      </c>
      <c r="O169" s="211">
        <f>N169*1.05</f>
        <v>64.795500000000004</v>
      </c>
    </row>
    <row r="170" spans="1:15" ht="20.100000000000001" customHeight="1" x14ac:dyDescent="0.3">
      <c r="B170" s="715"/>
      <c r="C170" s="381"/>
      <c r="D170" s="702"/>
      <c r="E170" s="701"/>
      <c r="F170" s="219" t="s">
        <v>460</v>
      </c>
      <c r="G170" s="173" t="s">
        <v>462</v>
      </c>
      <c r="H170" s="716"/>
      <c r="I170" s="717"/>
      <c r="J170" s="162">
        <f t="shared" si="75"/>
        <v>61.71</v>
      </c>
      <c r="K170" s="161">
        <f t="shared" si="73"/>
        <v>61.71</v>
      </c>
      <c r="L170" s="36"/>
      <c r="M170" s="36"/>
      <c r="N170" s="214">
        <v>61.71</v>
      </c>
      <c r="O170" s="211">
        <f t="shared" ref="O170:O171" si="76">N170*1.05</f>
        <v>64.795500000000004</v>
      </c>
    </row>
    <row r="171" spans="1:15" ht="20.100000000000001" customHeight="1" x14ac:dyDescent="0.3">
      <c r="B171" s="715"/>
      <c r="C171" s="381"/>
      <c r="D171" s="702"/>
      <c r="E171" s="701"/>
      <c r="F171" s="219" t="s">
        <v>461</v>
      </c>
      <c r="G171" s="173" t="s">
        <v>327</v>
      </c>
      <c r="H171" s="716"/>
      <c r="I171" s="717"/>
      <c r="J171" s="162">
        <f t="shared" si="75"/>
        <v>61.71</v>
      </c>
      <c r="K171" s="161">
        <f t="shared" si="73"/>
        <v>61.71</v>
      </c>
      <c r="L171" s="36"/>
      <c r="M171" s="36"/>
      <c r="N171" s="214">
        <v>61.71</v>
      </c>
      <c r="O171" s="211">
        <f t="shared" si="76"/>
        <v>64.795500000000004</v>
      </c>
    </row>
    <row r="172" spans="1:15" ht="17.399999999999999" customHeight="1" x14ac:dyDescent="0.3">
      <c r="B172" s="227" t="s">
        <v>266</v>
      </c>
      <c r="C172" s="392"/>
      <c r="D172" s="227"/>
      <c r="E172" s="227"/>
      <c r="F172" s="227"/>
      <c r="G172" s="227"/>
      <c r="H172" s="227"/>
      <c r="I172" s="227"/>
      <c r="J172" s="227"/>
      <c r="K172" s="227"/>
      <c r="L172" s="36"/>
      <c r="M172" s="36"/>
      <c r="N172" s="168"/>
      <c r="O172" s="216"/>
    </row>
    <row r="173" spans="1:15" ht="20.100000000000001" customHeight="1" x14ac:dyDescent="0.3">
      <c r="B173" s="693"/>
      <c r="C173" s="370"/>
      <c r="D173" s="689" t="s">
        <v>80</v>
      </c>
      <c r="E173" s="155" t="s">
        <v>146</v>
      </c>
      <c r="F173" s="219" t="s">
        <v>405</v>
      </c>
      <c r="G173" s="173" t="s">
        <v>227</v>
      </c>
      <c r="H173" s="703"/>
      <c r="I173" s="706" t="s">
        <v>31</v>
      </c>
      <c r="J173" s="45">
        <f>K173-K173*$K$3</f>
        <v>12.6</v>
      </c>
      <c r="K173" s="211">
        <f t="shared" ref="K173:K186" si="77">IF($K$2=$N$2,N173,O173)</f>
        <v>12.6</v>
      </c>
      <c r="L173" s="36"/>
      <c r="M173" s="36"/>
      <c r="N173" s="214">
        <v>12.6</v>
      </c>
      <c r="O173" s="211">
        <f t="shared" ref="O173:O186" si="78">N173*1.05</f>
        <v>13.23</v>
      </c>
    </row>
    <row r="174" spans="1:15" ht="20.100000000000001" customHeight="1" x14ac:dyDescent="0.3">
      <c r="B174" s="694"/>
      <c r="C174" s="371"/>
      <c r="D174" s="696"/>
      <c r="E174" s="160"/>
      <c r="F174" s="219" t="s">
        <v>406</v>
      </c>
      <c r="G174" s="173" t="s">
        <v>335</v>
      </c>
      <c r="H174" s="704"/>
      <c r="I174" s="707"/>
      <c r="J174" s="45">
        <f t="shared" ref="J174:J175" si="79">K174-K174*$K$3</f>
        <v>12.6</v>
      </c>
      <c r="K174" s="211">
        <f t="shared" si="77"/>
        <v>12.6</v>
      </c>
      <c r="L174" s="36"/>
      <c r="M174" s="36"/>
      <c r="N174" s="214">
        <v>12.6</v>
      </c>
      <c r="O174" s="211">
        <f t="shared" ref="O174:O175" si="80">N174*1.05</f>
        <v>13.23</v>
      </c>
    </row>
    <row r="175" spans="1:15" ht="20.100000000000001" customHeight="1" x14ac:dyDescent="0.3">
      <c r="B175" s="695"/>
      <c r="C175" s="372"/>
      <c r="D175" s="690"/>
      <c r="E175" s="160"/>
      <c r="F175" s="219" t="s">
        <v>407</v>
      </c>
      <c r="G175" s="173" t="s">
        <v>327</v>
      </c>
      <c r="H175" s="705"/>
      <c r="I175" s="708"/>
      <c r="J175" s="45">
        <f t="shared" si="79"/>
        <v>12.6</v>
      </c>
      <c r="K175" s="211">
        <f t="shared" si="77"/>
        <v>12.6</v>
      </c>
      <c r="L175" s="36"/>
      <c r="M175" s="36"/>
      <c r="N175" s="214">
        <v>12.6</v>
      </c>
      <c r="O175" s="211">
        <f t="shared" si="80"/>
        <v>13.23</v>
      </c>
    </row>
    <row r="176" spans="1:15" ht="38.25" customHeight="1" x14ac:dyDescent="0.3">
      <c r="B176" s="179"/>
      <c r="C176" s="179"/>
      <c r="D176" s="159" t="s">
        <v>147</v>
      </c>
      <c r="E176" s="155" t="s">
        <v>148</v>
      </c>
      <c r="F176" s="219" t="s">
        <v>403</v>
      </c>
      <c r="G176" s="173"/>
      <c r="H176" s="44"/>
      <c r="I176" s="158" t="s">
        <v>31</v>
      </c>
      <c r="J176" s="45">
        <f t="shared" ref="J176:J186" si="81">K176-K176*$K$3</f>
        <v>103.59</v>
      </c>
      <c r="K176" s="211">
        <f t="shared" si="77"/>
        <v>103.59</v>
      </c>
      <c r="L176" s="36"/>
      <c r="M176" s="36"/>
      <c r="N176" s="214">
        <v>103.59</v>
      </c>
      <c r="O176" s="211">
        <f t="shared" si="78"/>
        <v>108.76950000000001</v>
      </c>
    </row>
    <row r="177" spans="2:15" ht="39" customHeight="1" x14ac:dyDescent="0.3">
      <c r="B177" s="179"/>
      <c r="C177" s="179"/>
      <c r="D177" s="159" t="s">
        <v>149</v>
      </c>
      <c r="E177" s="155" t="s">
        <v>148</v>
      </c>
      <c r="F177" s="219" t="s">
        <v>404</v>
      </c>
      <c r="G177" s="173"/>
      <c r="H177" s="44"/>
      <c r="I177" s="158" t="s">
        <v>31</v>
      </c>
      <c r="J177" s="45">
        <f t="shared" si="81"/>
        <v>83.2</v>
      </c>
      <c r="K177" s="211">
        <f t="shared" si="77"/>
        <v>83.2</v>
      </c>
      <c r="L177" s="36"/>
      <c r="M177" s="36"/>
      <c r="N177" s="214">
        <v>83.2</v>
      </c>
      <c r="O177" s="211">
        <f t="shared" si="78"/>
        <v>87.360000000000014</v>
      </c>
    </row>
    <row r="178" spans="2:15" ht="42" customHeight="1" x14ac:dyDescent="0.3">
      <c r="B178" s="179"/>
      <c r="C178" s="179"/>
      <c r="D178" s="159" t="s">
        <v>150</v>
      </c>
      <c r="E178" s="155" t="s">
        <v>41</v>
      </c>
      <c r="F178" s="219" t="s">
        <v>198</v>
      </c>
      <c r="G178" s="173"/>
      <c r="H178" s="44"/>
      <c r="I178" s="37" t="s">
        <v>31</v>
      </c>
      <c r="J178" s="45">
        <f t="shared" si="81"/>
        <v>17.96</v>
      </c>
      <c r="K178" s="211">
        <f t="shared" si="77"/>
        <v>17.96</v>
      </c>
      <c r="L178" s="36"/>
      <c r="M178" s="36"/>
      <c r="N178" s="214">
        <v>17.96</v>
      </c>
      <c r="O178" s="211">
        <f t="shared" si="78"/>
        <v>18.858000000000001</v>
      </c>
    </row>
    <row r="179" spans="2:15" ht="34.5" customHeight="1" x14ac:dyDescent="0.3">
      <c r="B179" s="43"/>
      <c r="C179" s="43"/>
      <c r="D179" s="159" t="s">
        <v>82</v>
      </c>
      <c r="E179" s="155" t="s">
        <v>83</v>
      </c>
      <c r="F179" s="219" t="s">
        <v>408</v>
      </c>
      <c r="G179" s="224" t="s">
        <v>333</v>
      </c>
      <c r="H179" s="44"/>
      <c r="I179" s="37" t="s">
        <v>50</v>
      </c>
      <c r="J179" s="45">
        <f t="shared" si="81"/>
        <v>76.03</v>
      </c>
      <c r="K179" s="211">
        <f t="shared" si="77"/>
        <v>76.03</v>
      </c>
      <c r="L179" s="36"/>
      <c r="M179" s="36"/>
      <c r="N179" s="214">
        <v>76.03</v>
      </c>
      <c r="O179" s="211">
        <f t="shared" si="78"/>
        <v>79.831500000000005</v>
      </c>
    </row>
    <row r="180" spans="2:15" ht="36" customHeight="1" x14ac:dyDescent="0.3">
      <c r="B180" s="693"/>
      <c r="C180" s="370"/>
      <c r="D180" s="689" t="s">
        <v>151</v>
      </c>
      <c r="E180" s="155" t="s">
        <v>83</v>
      </c>
      <c r="F180" s="219" t="s">
        <v>409</v>
      </c>
      <c r="G180" s="224" t="s">
        <v>333</v>
      </c>
      <c r="H180" s="44"/>
      <c r="I180" s="158" t="s">
        <v>50</v>
      </c>
      <c r="J180" s="45">
        <f t="shared" si="81"/>
        <v>44.33</v>
      </c>
      <c r="K180" s="211">
        <f t="shared" si="77"/>
        <v>44.33</v>
      </c>
      <c r="L180" s="36"/>
      <c r="M180" s="36"/>
      <c r="N180" s="214">
        <v>44.33</v>
      </c>
      <c r="O180" s="211">
        <f t="shared" si="78"/>
        <v>46.546500000000002</v>
      </c>
    </row>
    <row r="181" spans="2:15" ht="32.25" customHeight="1" x14ac:dyDescent="0.3">
      <c r="B181" s="695"/>
      <c r="C181" s="372"/>
      <c r="D181" s="690"/>
      <c r="E181" s="155" t="s">
        <v>83</v>
      </c>
      <c r="F181" s="219" t="s">
        <v>410</v>
      </c>
      <c r="G181" s="224" t="s">
        <v>334</v>
      </c>
      <c r="H181" s="44"/>
      <c r="I181" s="158" t="s">
        <v>50</v>
      </c>
      <c r="J181" s="45">
        <f t="shared" si="81"/>
        <v>44.33</v>
      </c>
      <c r="K181" s="211">
        <f t="shared" si="77"/>
        <v>44.33</v>
      </c>
      <c r="L181" s="36"/>
      <c r="M181" s="36"/>
      <c r="N181" s="214">
        <v>44.33</v>
      </c>
      <c r="O181" s="211">
        <f t="shared" si="78"/>
        <v>46.546500000000002</v>
      </c>
    </row>
    <row r="182" spans="2:15" ht="20.100000000000001" customHeight="1" x14ac:dyDescent="0.3">
      <c r="B182" s="693"/>
      <c r="C182" s="370"/>
      <c r="D182" s="689" t="s">
        <v>152</v>
      </c>
      <c r="E182" s="155" t="s">
        <v>153</v>
      </c>
      <c r="F182" s="219" t="s">
        <v>412</v>
      </c>
      <c r="G182" s="173" t="s">
        <v>332</v>
      </c>
      <c r="H182" s="703"/>
      <c r="I182" s="706" t="s">
        <v>50</v>
      </c>
      <c r="J182" s="45">
        <f t="shared" si="81"/>
        <v>26.32</v>
      </c>
      <c r="K182" s="211">
        <f t="shared" si="77"/>
        <v>26.32</v>
      </c>
      <c r="L182" s="36"/>
      <c r="M182" s="36"/>
      <c r="N182" s="214">
        <v>26.32</v>
      </c>
      <c r="O182" s="211">
        <f t="shared" si="78"/>
        <v>27.636000000000003</v>
      </c>
    </row>
    <row r="183" spans="2:15" ht="20.100000000000001" customHeight="1" x14ac:dyDescent="0.3">
      <c r="B183" s="694"/>
      <c r="C183" s="371"/>
      <c r="D183" s="696"/>
      <c r="E183" s="160"/>
      <c r="F183" s="219" t="s">
        <v>413</v>
      </c>
      <c r="G183" s="173" t="s">
        <v>329</v>
      </c>
      <c r="H183" s="704"/>
      <c r="I183" s="707"/>
      <c r="J183" s="45">
        <f t="shared" ref="J183:J185" si="82">K183-K183*$K$3</f>
        <v>26.32</v>
      </c>
      <c r="K183" s="211">
        <f t="shared" si="77"/>
        <v>26.32</v>
      </c>
      <c r="L183" s="36"/>
      <c r="M183" s="36"/>
      <c r="N183" s="214">
        <v>26.32</v>
      </c>
      <c r="O183" s="211">
        <f t="shared" ref="O183:O185" si="83">N183*1.05</f>
        <v>27.636000000000003</v>
      </c>
    </row>
    <row r="184" spans="2:15" ht="20.100000000000001" customHeight="1" x14ac:dyDescent="0.3">
      <c r="B184" s="694"/>
      <c r="C184" s="371"/>
      <c r="D184" s="696"/>
      <c r="E184" s="160"/>
      <c r="F184" s="219" t="s">
        <v>414</v>
      </c>
      <c r="G184" s="173" t="s">
        <v>328</v>
      </c>
      <c r="H184" s="704"/>
      <c r="I184" s="707"/>
      <c r="J184" s="45">
        <f t="shared" si="82"/>
        <v>26.32</v>
      </c>
      <c r="K184" s="211">
        <f t="shared" si="77"/>
        <v>26.32</v>
      </c>
      <c r="L184" s="36"/>
      <c r="M184" s="36"/>
      <c r="N184" s="214">
        <v>26.32</v>
      </c>
      <c r="O184" s="211">
        <f t="shared" si="83"/>
        <v>27.636000000000003</v>
      </c>
    </row>
    <row r="185" spans="2:15" ht="20.100000000000001" customHeight="1" x14ac:dyDescent="0.3">
      <c r="B185" s="695"/>
      <c r="C185" s="372"/>
      <c r="D185" s="690"/>
      <c r="E185" s="160"/>
      <c r="F185" s="219" t="s">
        <v>415</v>
      </c>
      <c r="G185" s="173" t="s">
        <v>327</v>
      </c>
      <c r="H185" s="705"/>
      <c r="I185" s="708"/>
      <c r="J185" s="45">
        <f t="shared" si="82"/>
        <v>26.32</v>
      </c>
      <c r="K185" s="211">
        <f t="shared" si="77"/>
        <v>26.32</v>
      </c>
      <c r="L185" s="36"/>
      <c r="M185" s="36"/>
      <c r="N185" s="214">
        <v>26.32</v>
      </c>
      <c r="O185" s="211">
        <f t="shared" si="83"/>
        <v>27.636000000000003</v>
      </c>
    </row>
    <row r="186" spans="2:15" ht="39" customHeight="1" x14ac:dyDescent="0.3">
      <c r="B186" s="179"/>
      <c r="C186" s="179"/>
      <c r="D186" s="159" t="s">
        <v>81</v>
      </c>
      <c r="E186" s="155" t="s">
        <v>70</v>
      </c>
      <c r="F186" s="219" t="s">
        <v>411</v>
      </c>
      <c r="G186" s="173"/>
      <c r="H186" s="44"/>
      <c r="I186" s="158" t="s">
        <v>31</v>
      </c>
      <c r="J186" s="45">
        <f t="shared" si="81"/>
        <v>10.4</v>
      </c>
      <c r="K186" s="211">
        <f t="shared" si="77"/>
        <v>10.4</v>
      </c>
      <c r="L186" s="36"/>
      <c r="M186" s="36"/>
      <c r="N186" s="214">
        <v>10.4</v>
      </c>
      <c r="O186" s="211">
        <f t="shared" si="78"/>
        <v>10.920000000000002</v>
      </c>
    </row>
    <row r="187" spans="2:15" ht="25.2" customHeight="1" x14ac:dyDescent="0.3">
      <c r="B187" s="693"/>
      <c r="C187" s="179"/>
      <c r="D187" s="689" t="s">
        <v>522</v>
      </c>
      <c r="E187" s="455" t="s">
        <v>70</v>
      </c>
      <c r="F187" s="219" t="s">
        <v>523</v>
      </c>
      <c r="G187" s="173"/>
      <c r="H187" s="44"/>
      <c r="I187" s="456" t="s">
        <v>31</v>
      </c>
      <c r="J187" s="45">
        <f t="shared" ref="J187" si="84">K187-K187*$K$3</f>
        <v>797.31</v>
      </c>
      <c r="K187" s="211">
        <f t="shared" ref="K187" si="85">IF($K$2=$N$2,N187,O187)</f>
        <v>797.31</v>
      </c>
      <c r="L187" s="36"/>
      <c r="M187" s="36"/>
      <c r="N187" s="226">
        <v>797.31</v>
      </c>
      <c r="O187" s="211">
        <f t="shared" ref="O187:O190" si="86">N187*1.05</f>
        <v>837.17549999999994</v>
      </c>
    </row>
    <row r="188" spans="2:15" ht="19.95" customHeight="1" x14ac:dyDescent="0.3">
      <c r="B188" s="694"/>
      <c r="C188" s="179"/>
      <c r="D188" s="696"/>
      <c r="E188" s="455" t="s">
        <v>70</v>
      </c>
      <c r="F188" s="219" t="s">
        <v>524</v>
      </c>
      <c r="G188" s="173"/>
      <c r="H188" s="44"/>
      <c r="I188" s="456" t="s">
        <v>31</v>
      </c>
      <c r="J188" s="45">
        <f t="shared" ref="J188:J190" si="87">K188-K188*$K$3</f>
        <v>797.31</v>
      </c>
      <c r="K188" s="211">
        <f t="shared" ref="K188:K190" si="88">IF($K$2=$N$2,N188,O188)</f>
        <v>797.31</v>
      </c>
      <c r="M188" s="36"/>
      <c r="N188" s="226">
        <v>797.31</v>
      </c>
      <c r="O188" s="211">
        <f t="shared" si="86"/>
        <v>837.17549999999994</v>
      </c>
    </row>
    <row r="189" spans="2:15" ht="19.95" customHeight="1" x14ac:dyDescent="0.3">
      <c r="B189" s="694"/>
      <c r="C189" s="179"/>
      <c r="D189" s="696"/>
      <c r="E189" s="455" t="s">
        <v>70</v>
      </c>
      <c r="F189" s="219" t="s">
        <v>525</v>
      </c>
      <c r="G189" s="173"/>
      <c r="H189" s="44"/>
      <c r="I189" s="456" t="s">
        <v>31</v>
      </c>
      <c r="J189" s="45">
        <f t="shared" si="87"/>
        <v>797.31</v>
      </c>
      <c r="K189" s="211">
        <f t="shared" si="88"/>
        <v>797.31</v>
      </c>
      <c r="M189" s="36"/>
      <c r="N189" s="226">
        <v>797.31</v>
      </c>
      <c r="O189" s="211">
        <f t="shared" si="86"/>
        <v>837.17549999999994</v>
      </c>
    </row>
    <row r="190" spans="2:15" ht="19.95" customHeight="1" x14ac:dyDescent="0.3">
      <c r="B190" s="695"/>
      <c r="C190" s="179"/>
      <c r="D190" s="690"/>
      <c r="E190" s="455" t="s">
        <v>70</v>
      </c>
      <c r="F190" s="219" t="s">
        <v>526</v>
      </c>
      <c r="G190" s="173"/>
      <c r="H190" s="44"/>
      <c r="I190" s="456" t="s">
        <v>31</v>
      </c>
      <c r="J190" s="45">
        <f t="shared" si="87"/>
        <v>797.31</v>
      </c>
      <c r="K190" s="211">
        <f t="shared" si="88"/>
        <v>797.31</v>
      </c>
      <c r="M190" s="36"/>
      <c r="N190" s="226">
        <v>797.31</v>
      </c>
      <c r="O190" s="211">
        <f t="shared" si="86"/>
        <v>837.17549999999994</v>
      </c>
    </row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  <row r="231" ht="19.95" customHeight="1" x14ac:dyDescent="0.3"/>
    <row r="232" ht="19.95" customHeight="1" x14ac:dyDescent="0.3"/>
  </sheetData>
  <sheetProtection algorithmName="SHA-512" hashValue="kOa+59mxW7LwdTEbkGzTctPG0wf9ga1AthfcblI53vdbm7KNLQUnwIfd5s4LsoOOHlEmKu4GhxYOIvNjhKalCA==" saltValue="hwNjbxktp8x/YZedMsZ3YQ==" spinCount="100000" sheet="1" selectLockedCells="1"/>
  <mergeCells count="135">
    <mergeCell ref="I52:I64"/>
    <mergeCell ref="B102:B104"/>
    <mergeCell ref="D102:D104"/>
    <mergeCell ref="E102:E104"/>
    <mergeCell ref="E52:E53"/>
    <mergeCell ref="E65:E73"/>
    <mergeCell ref="H39:H51"/>
    <mergeCell ref="I39:I51"/>
    <mergeCell ref="E74:E81"/>
    <mergeCell ref="B65:B73"/>
    <mergeCell ref="D65:D73"/>
    <mergeCell ref="H65:H73"/>
    <mergeCell ref="I65:I73"/>
    <mergeCell ref="B6:B18"/>
    <mergeCell ref="D6:D18"/>
    <mergeCell ref="B145:B147"/>
    <mergeCell ref="D145:D147"/>
    <mergeCell ref="E145:E147"/>
    <mergeCell ref="H145:H147"/>
    <mergeCell ref="D142:D144"/>
    <mergeCell ref="B139:B144"/>
    <mergeCell ref="D139:D141"/>
    <mergeCell ref="E139:E144"/>
    <mergeCell ref="H139:H144"/>
    <mergeCell ref="H32:H33"/>
    <mergeCell ref="B52:B64"/>
    <mergeCell ref="D52:D64"/>
    <mergeCell ref="E54:E64"/>
    <mergeCell ref="H52:H64"/>
    <mergeCell ref="D32:D33"/>
    <mergeCell ref="E21:E26"/>
    <mergeCell ref="E32:E33"/>
    <mergeCell ref="E39:E40"/>
    <mergeCell ref="B39:B51"/>
    <mergeCell ref="D39:D51"/>
    <mergeCell ref="E41:E51"/>
    <mergeCell ref="B109:B112"/>
    <mergeCell ref="D109:D112"/>
    <mergeCell ref="E109:E112"/>
    <mergeCell ref="H109:H112"/>
    <mergeCell ref="I109:I112"/>
    <mergeCell ref="E88:E95"/>
    <mergeCell ref="B106:B108"/>
    <mergeCell ref="D106:D108"/>
    <mergeCell ref="E106:E108"/>
    <mergeCell ref="H106:H108"/>
    <mergeCell ref="I106:I108"/>
    <mergeCell ref="H102:H104"/>
    <mergeCell ref="I102:I104"/>
    <mergeCell ref="B113:B115"/>
    <mergeCell ref="D113:D115"/>
    <mergeCell ref="B116:B118"/>
    <mergeCell ref="D116:D118"/>
    <mergeCell ref="I113:I115"/>
    <mergeCell ref="I116:I118"/>
    <mergeCell ref="H116:H118"/>
    <mergeCell ref="H113:H115"/>
    <mergeCell ref="B126:B129"/>
    <mergeCell ref="D126:D129"/>
    <mergeCell ref="B123:B125"/>
    <mergeCell ref="D123:D125"/>
    <mergeCell ref="E123:E125"/>
    <mergeCell ref="H123:H125"/>
    <mergeCell ref="I123:I125"/>
    <mergeCell ref="B120:B122"/>
    <mergeCell ref="D120:D122"/>
    <mergeCell ref="B180:B181"/>
    <mergeCell ref="B173:B175"/>
    <mergeCell ref="D173:D175"/>
    <mergeCell ref="H173:H175"/>
    <mergeCell ref="I173:I175"/>
    <mergeCell ref="I120:I122"/>
    <mergeCell ref="H120:H122"/>
    <mergeCell ref="I126:I129"/>
    <mergeCell ref="H126:H129"/>
    <mergeCell ref="B134:B137"/>
    <mergeCell ref="D134:D137"/>
    <mergeCell ref="E134:E137"/>
    <mergeCell ref="H134:H137"/>
    <mergeCell ref="I134:I137"/>
    <mergeCell ref="B154:B156"/>
    <mergeCell ref="D154:D156"/>
    <mergeCell ref="E154:E156"/>
    <mergeCell ref="H154:H156"/>
    <mergeCell ref="I154:I156"/>
    <mergeCell ref="I145:I147"/>
    <mergeCell ref="I139:I144"/>
    <mergeCell ref="I36:I38"/>
    <mergeCell ref="I32:I33"/>
    <mergeCell ref="E36:E38"/>
    <mergeCell ref="B32:B33"/>
    <mergeCell ref="E8:E13"/>
    <mergeCell ref="E19:E20"/>
    <mergeCell ref="B182:B185"/>
    <mergeCell ref="D182:D185"/>
    <mergeCell ref="H182:H185"/>
    <mergeCell ref="I182:I185"/>
    <mergeCell ref="B167:B168"/>
    <mergeCell ref="D167:D168"/>
    <mergeCell ref="I167:I168"/>
    <mergeCell ref="H167:H168"/>
    <mergeCell ref="B163:B166"/>
    <mergeCell ref="D163:D166"/>
    <mergeCell ref="I163:I166"/>
    <mergeCell ref="H163:H166"/>
    <mergeCell ref="B169:B171"/>
    <mergeCell ref="D169:D171"/>
    <mergeCell ref="E169:E171"/>
    <mergeCell ref="H169:H171"/>
    <mergeCell ref="I169:I171"/>
    <mergeCell ref="D180:D181"/>
    <mergeCell ref="B34:B35"/>
    <mergeCell ref="D34:D35"/>
    <mergeCell ref="H34:H35"/>
    <mergeCell ref="I34:I35"/>
    <mergeCell ref="B187:B190"/>
    <mergeCell ref="D187:D190"/>
    <mergeCell ref="H6:H18"/>
    <mergeCell ref="I6:I18"/>
    <mergeCell ref="B19:B31"/>
    <mergeCell ref="D19:D31"/>
    <mergeCell ref="B88:B100"/>
    <mergeCell ref="D88:D100"/>
    <mergeCell ref="B74:B86"/>
    <mergeCell ref="D74:D86"/>
    <mergeCell ref="H19:H31"/>
    <mergeCell ref="I19:I31"/>
    <mergeCell ref="H74:H86"/>
    <mergeCell ref="I74:I86"/>
    <mergeCell ref="H88:H100"/>
    <mergeCell ref="I88:I100"/>
    <mergeCell ref="E6:E7"/>
    <mergeCell ref="B36:B38"/>
    <mergeCell ref="D36:D38"/>
    <mergeCell ref="H36:H38"/>
  </mergeCells>
  <dataValidations count="1">
    <dataValidation type="list" allowBlank="1" showInputMessage="1" showErrorMessage="1" sqref="K2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Прун Алина Александровна</cp:lastModifiedBy>
  <cp:lastPrinted>2022-05-14T19:52:51Z</cp:lastPrinted>
  <dcterms:created xsi:type="dcterms:W3CDTF">2015-02-11T05:31:15Z</dcterms:created>
  <dcterms:modified xsi:type="dcterms:W3CDTF">2024-10-09T12:20:16Z</dcterms:modified>
</cp:coreProperties>
</file>