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xr:revisionPtr revIDLastSave="0" documentId="13_ncr:1_{56269A86-EC16-48DF-9F80-E1F8193D8DB8}" xr6:coauthVersionLast="47" xr6:coauthVersionMax="47" xr10:uidLastSave="{00000000-0000-0000-0000-000000000000}"/>
  <workbookProtection workbookAlgorithmName="SHA-512" workbookHashValue="Nhl2rxbGFdzCnxmwZV0bQyHto+duyg6zxbS0WDtnrms25RDTzx1GppDhl703FIJtcfvkKni53Q663DyI9yKy6w==" workbookSaltValue="PrQv5oZYnhor+a23tgHHkQ==" workbookSpinCount="100000" lockStructure="1"/>
  <bookViews>
    <workbookView xWindow="-108" yWindow="-108" windowWidth="23256" windowHeight="12456" tabRatio="681" xr2:uid="{00000000-000D-0000-FFFF-FFFF00000000}"/>
  </bookViews>
  <sheets>
    <sheet name="Подвесная" sheetId="5" r:id="rId1"/>
    <sheet name="Подвесная угловая" sheetId="10" state="hidden" r:id="rId2"/>
    <sheet name="Складная" sheetId="4" state="hidden" r:id="rId3"/>
    <sheet name="Распашная" sheetId="3" state="hidden" r:id="rId4"/>
    <sheet name="Стационарная" sheetId="1" r:id="rId5"/>
    <sheet name="Цены" sheetId="9" state="hidden" r:id="rId6"/>
  </sheets>
  <calcPr calcId="191029"/>
</workbook>
</file>

<file path=xl/calcChain.xml><?xml version="1.0" encoding="utf-8"?>
<calcChain xmlns="http://schemas.openxmlformats.org/spreadsheetml/2006/main">
  <c r="M12" i="5" l="1"/>
  <c r="M10" i="5"/>
  <c r="L10" i="5"/>
  <c r="E9" i="5"/>
  <c r="O42" i="5"/>
  <c r="O29" i="5"/>
  <c r="O27" i="5"/>
  <c r="O28" i="5" s="1"/>
  <c r="O23" i="5"/>
  <c r="K5" i="5"/>
  <c r="O30" i="5" s="1"/>
  <c r="M17" i="5"/>
  <c r="O31" i="5" l="1"/>
  <c r="O24" i="5"/>
  <c r="K4" i="1"/>
  <c r="M17" i="1"/>
  <c r="K5" i="1"/>
  <c r="L17" i="1" s="1"/>
  <c r="BM17" i="1" l="1"/>
  <c r="N17" i="1"/>
  <c r="BL17" i="1" l="1"/>
  <c r="O17" i="1" s="1"/>
  <c r="M18" i="5"/>
  <c r="O45" i="5"/>
  <c r="O25" i="5" s="1"/>
  <c r="K4" i="5"/>
  <c r="F20" i="1"/>
  <c r="L9" i="1"/>
  <c r="L15" i="1"/>
  <c r="G19" i="1"/>
  <c r="G20" i="1"/>
  <c r="G21" i="1"/>
  <c r="G22" i="1"/>
  <c r="E18" i="1"/>
  <c r="G18" i="1"/>
  <c r="M12" i="1"/>
  <c r="M13" i="1"/>
  <c r="M14" i="1"/>
  <c r="O24" i="1"/>
  <c r="O23" i="1"/>
  <c r="M9" i="1"/>
  <c r="M15" i="1" s="1"/>
  <c r="L14" i="1"/>
  <c r="AY14" i="1" s="1"/>
  <c r="L16" i="1"/>
  <c r="M16" i="1"/>
  <c r="BM16" i="1" s="1"/>
  <c r="BM14" i="1"/>
  <c r="BL14" i="1"/>
  <c r="AZ14" i="1" s="1"/>
  <c r="U14" i="1" s="1"/>
  <c r="L10" i="1"/>
  <c r="N10" i="1" s="1"/>
  <c r="BO15" i="1"/>
  <c r="BP15" i="1"/>
  <c r="BK15" i="1"/>
  <c r="AF15" i="1" s="1"/>
  <c r="AT15" i="1" s="1"/>
  <c r="BP14" i="1"/>
  <c r="BP27" i="1" s="1"/>
  <c r="BP42" i="1" s="1"/>
  <c r="BO14" i="1"/>
  <c r="BB14" i="1" s="1"/>
  <c r="W14" i="1" s="1"/>
  <c r="AK14" i="1" s="1"/>
  <c r="L15" i="5"/>
  <c r="L18" i="5"/>
  <c r="BL16" i="5" s="1"/>
  <c r="O36" i="5"/>
  <c r="G29" i="5"/>
  <c r="G30" i="5"/>
  <c r="G31" i="5"/>
  <c r="G32" i="5"/>
  <c r="O26" i="5"/>
  <c r="O100" i="5"/>
  <c r="O33" i="5"/>
  <c r="L12" i="5"/>
  <c r="BO15" i="5"/>
  <c r="BO27" i="5" s="1"/>
  <c r="L11" i="5"/>
  <c r="M11" i="5"/>
  <c r="T11" i="5"/>
  <c r="AH11" i="5" s="1"/>
  <c r="U11" i="5"/>
  <c r="AI11" i="5" s="1"/>
  <c r="V11" i="5"/>
  <c r="AJ11" i="5" s="1"/>
  <c r="W11" i="5"/>
  <c r="AK11" i="5" s="1"/>
  <c r="AL11" i="5"/>
  <c r="Y11" i="5"/>
  <c r="AM11" i="5" s="1"/>
  <c r="Z11" i="5"/>
  <c r="AN11" i="5"/>
  <c r="AA11" i="5"/>
  <c r="AO11" i="5"/>
  <c r="AB11" i="5"/>
  <c r="AP11" i="5" s="1"/>
  <c r="AC11" i="5"/>
  <c r="AQ11" i="5" s="1"/>
  <c r="AR11" i="5"/>
  <c r="AE11" i="5"/>
  <c r="AS11" i="5" s="1"/>
  <c r="K35" i="9"/>
  <c r="J35" i="9"/>
  <c r="O35" i="9"/>
  <c r="O34" i="9"/>
  <c r="K34" i="9"/>
  <c r="J34" i="9" s="1"/>
  <c r="BS11" i="5" s="1" a="1"/>
  <c r="BS11" i="5" s="1"/>
  <c r="AG11" i="5" s="1"/>
  <c r="O188" i="9"/>
  <c r="O189" i="9"/>
  <c r="O190" i="9"/>
  <c r="K190" i="9"/>
  <c r="J190" i="9"/>
  <c r="K189" i="9"/>
  <c r="J189" i="9" s="1"/>
  <c r="K188" i="9"/>
  <c r="J188" i="9"/>
  <c r="O187" i="9"/>
  <c r="K187" i="9"/>
  <c r="J187" i="9" s="1"/>
  <c r="O44" i="5"/>
  <c r="Q41" i="5" s="1"/>
  <c r="BL39" i="1"/>
  <c r="BL54" i="1"/>
  <c r="BM39" i="1"/>
  <c r="BM54" i="1" s="1"/>
  <c r="BN39" i="1"/>
  <c r="BN54" i="1" s="1"/>
  <c r="BO39" i="1"/>
  <c r="BO54" i="1" s="1"/>
  <c r="BP39" i="1"/>
  <c r="BP54" i="1"/>
  <c r="BN40" i="1"/>
  <c r="BN55" i="1" s="1"/>
  <c r="BO40" i="1"/>
  <c r="BO55" i="1" s="1"/>
  <c r="BP40" i="1"/>
  <c r="BP55" i="1" s="1"/>
  <c r="BN41" i="1"/>
  <c r="BN56" i="1"/>
  <c r="BO41" i="1"/>
  <c r="BO56" i="1" s="1"/>
  <c r="BP41" i="1"/>
  <c r="BP56" i="1" s="1"/>
  <c r="BN42" i="1"/>
  <c r="BN57" i="1" s="1"/>
  <c r="BL43" i="1"/>
  <c r="BL58" i="1"/>
  <c r="BM43" i="1"/>
  <c r="BM58" i="1" s="1"/>
  <c r="BN43" i="1"/>
  <c r="BN58" i="1" s="1"/>
  <c r="BO28" i="1"/>
  <c r="BO43" i="1" s="1"/>
  <c r="BP28" i="1"/>
  <c r="BK28" i="1" s="1"/>
  <c r="BN38" i="1"/>
  <c r="BN53" i="1"/>
  <c r="BO38" i="1"/>
  <c r="BO53" i="1" s="1"/>
  <c r="BP38" i="1"/>
  <c r="BP53" i="1"/>
  <c r="BE15" i="1"/>
  <c r="Z15" i="1" s="1"/>
  <c r="AN15" i="1" s="1"/>
  <c r="Y13" i="1"/>
  <c r="AM13" i="1" s="1"/>
  <c r="V13" i="1"/>
  <c r="W13" i="1"/>
  <c r="AK13" i="1"/>
  <c r="Z13" i="1"/>
  <c r="AN13" i="1"/>
  <c r="AB13" i="1"/>
  <c r="AP13" i="1"/>
  <c r="AC13" i="1"/>
  <c r="AQ13" i="1" s="1"/>
  <c r="AF13" i="1"/>
  <c r="AT13" i="1"/>
  <c r="U15" i="1"/>
  <c r="AI15" i="1" s="1"/>
  <c r="V15" i="1"/>
  <c r="AJ15" i="1" s="1"/>
  <c r="W15" i="1"/>
  <c r="AK15" i="1" s="1"/>
  <c r="X15" i="1"/>
  <c r="AL15" i="1"/>
  <c r="Y15" i="1"/>
  <c r="AM15" i="1" s="1"/>
  <c r="AA15" i="1"/>
  <c r="AO15" i="1" s="1"/>
  <c r="AB15" i="1"/>
  <c r="AP15" i="1" s="1"/>
  <c r="AC15" i="1"/>
  <c r="AQ15" i="1"/>
  <c r="AD15" i="1"/>
  <c r="AR15" i="1" s="1"/>
  <c r="AE15" i="1"/>
  <c r="AS15" i="1" s="1"/>
  <c r="V12" i="1"/>
  <c r="AJ12" i="1" s="1"/>
  <c r="W12" i="1"/>
  <c r="AK12" i="1"/>
  <c r="X12" i="1"/>
  <c r="AL12" i="1" s="1"/>
  <c r="Z12" i="1"/>
  <c r="AN12" i="1" s="1"/>
  <c r="AA12" i="1"/>
  <c r="AO12" i="1" s="1"/>
  <c r="AB12" i="1"/>
  <c r="AP12" i="1"/>
  <c r="AC12" i="1"/>
  <c r="AQ12" i="1" s="1"/>
  <c r="AD12" i="1"/>
  <c r="AR12" i="1" s="1"/>
  <c r="AF12" i="1"/>
  <c r="AT12" i="1" s="1"/>
  <c r="U12" i="1"/>
  <c r="AI12" i="1"/>
  <c r="V10" i="1"/>
  <c r="AJ10" i="1" s="1"/>
  <c r="W10" i="1"/>
  <c r="AK10" i="1" s="1"/>
  <c r="X10" i="1"/>
  <c r="AL10" i="1" s="1"/>
  <c r="Z10" i="1"/>
  <c r="AN10" i="1"/>
  <c r="AA10" i="1"/>
  <c r="AO10" i="1" s="1"/>
  <c r="AB10" i="1"/>
  <c r="AP10" i="1" s="1"/>
  <c r="AC10" i="1"/>
  <c r="AQ10" i="1" s="1"/>
  <c r="AD10" i="1"/>
  <c r="AR10" i="1"/>
  <c r="AF10" i="1"/>
  <c r="AT10" i="1" s="1"/>
  <c r="U10" i="1"/>
  <c r="AI10" i="1" s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V10" i="3"/>
  <c r="W10" i="3"/>
  <c r="AK10" i="3" s="1"/>
  <c r="Y10" i="3"/>
  <c r="AM10" i="3" s="1"/>
  <c r="Z10" i="3"/>
  <c r="AN10" i="3" s="1"/>
  <c r="AB10" i="3"/>
  <c r="AC10" i="3"/>
  <c r="AF10" i="3"/>
  <c r="AT10" i="3" s="1"/>
  <c r="V11" i="3"/>
  <c r="AJ11" i="3"/>
  <c r="AC11" i="3"/>
  <c r="AQ11" i="3"/>
  <c r="U12" i="3"/>
  <c r="V12" i="3"/>
  <c r="AJ12" i="3"/>
  <c r="W12" i="3"/>
  <c r="AK12" i="3" s="1"/>
  <c r="X12" i="3"/>
  <c r="AL12" i="3"/>
  <c r="Y12" i="3"/>
  <c r="AA12" i="3"/>
  <c r="AB12" i="3"/>
  <c r="AP12" i="3"/>
  <c r="AC12" i="3"/>
  <c r="AQ12" i="3" s="1"/>
  <c r="AD12" i="3"/>
  <c r="AR12" i="3" s="1"/>
  <c r="AE12" i="3"/>
  <c r="AS12" i="3" s="1"/>
  <c r="V9" i="3"/>
  <c r="W9" i="3"/>
  <c r="X9" i="3"/>
  <c r="Y9" i="3"/>
  <c r="Z9" i="3"/>
  <c r="AA9" i="3"/>
  <c r="AB9" i="3"/>
  <c r="AC9" i="3"/>
  <c r="AD9" i="3"/>
  <c r="AE9" i="3"/>
  <c r="U9" i="3"/>
  <c r="AJ10" i="3"/>
  <c r="AP10" i="3"/>
  <c r="AQ10" i="3"/>
  <c r="AI12" i="3"/>
  <c r="AM12" i="3"/>
  <c r="AO12" i="3"/>
  <c r="BR42" i="3"/>
  <c r="BN32" i="3"/>
  <c r="BN43" i="3" s="1"/>
  <c r="BL33" i="3"/>
  <c r="BL44" i="3" s="1"/>
  <c r="BM33" i="3"/>
  <c r="BM44" i="3" s="1"/>
  <c r="BN33" i="3"/>
  <c r="BN44" i="3" s="1"/>
  <c r="BQ33" i="3"/>
  <c r="BQ44" i="3" s="1"/>
  <c r="BR33" i="3"/>
  <c r="BR44" i="3" s="1"/>
  <c r="BN31" i="3"/>
  <c r="BN42" i="3" s="1"/>
  <c r="BO31" i="3"/>
  <c r="BO42" i="3" s="1"/>
  <c r="BP31" i="3"/>
  <c r="BP42" i="3" s="1"/>
  <c r="BQ31" i="3"/>
  <c r="BQ42" i="3" s="1"/>
  <c r="BR31" i="3"/>
  <c r="V11" i="4"/>
  <c r="AJ11" i="4"/>
  <c r="W11" i="4"/>
  <c r="AK11" i="4" s="1"/>
  <c r="X11" i="4"/>
  <c r="AL11" i="4" s="1"/>
  <c r="Y11" i="4"/>
  <c r="AM11" i="4" s="1"/>
  <c r="AA11" i="4"/>
  <c r="AO11" i="4"/>
  <c r="AB11" i="4"/>
  <c r="AP11" i="4" s="1"/>
  <c r="AC11" i="4"/>
  <c r="AQ11" i="4" s="1"/>
  <c r="AD11" i="4"/>
  <c r="AR11" i="4" s="1"/>
  <c r="AE11" i="4"/>
  <c r="AS11" i="4"/>
  <c r="V12" i="4"/>
  <c r="AJ12" i="4" s="1"/>
  <c r="W12" i="4"/>
  <c r="AK12" i="4" s="1"/>
  <c r="X12" i="4"/>
  <c r="AL12" i="4" s="1"/>
  <c r="Z12" i="4"/>
  <c r="AN12" i="4"/>
  <c r="AA12" i="4"/>
  <c r="AO12" i="4" s="1"/>
  <c r="AB12" i="4"/>
  <c r="AP12" i="4" s="1"/>
  <c r="AC12" i="4"/>
  <c r="AQ12" i="4" s="1"/>
  <c r="AD12" i="4"/>
  <c r="AR12" i="4"/>
  <c r="AF12" i="4"/>
  <c r="AT12" i="4" s="1"/>
  <c r="V13" i="4"/>
  <c r="AJ13" i="4" s="1"/>
  <c r="W13" i="4"/>
  <c r="AK13" i="4" s="1"/>
  <c r="Y13" i="4"/>
  <c r="AM13" i="4"/>
  <c r="Z13" i="4"/>
  <c r="AN13" i="4" s="1"/>
  <c r="AB13" i="4"/>
  <c r="AP13" i="4" s="1"/>
  <c r="AC13" i="4"/>
  <c r="AQ13" i="4" s="1"/>
  <c r="AF13" i="4"/>
  <c r="AT13" i="4"/>
  <c r="V14" i="4"/>
  <c r="AJ14" i="4" s="1"/>
  <c r="AC14" i="4"/>
  <c r="AQ14" i="4" s="1"/>
  <c r="V15" i="4"/>
  <c r="AJ15" i="4" s="1"/>
  <c r="W15" i="4"/>
  <c r="AK15" i="4"/>
  <c r="X15" i="4"/>
  <c r="AL15" i="4" s="1"/>
  <c r="Y15" i="4"/>
  <c r="AM15" i="4" s="1"/>
  <c r="AA15" i="4"/>
  <c r="AO15" i="4" s="1"/>
  <c r="AB15" i="4"/>
  <c r="AP15" i="4"/>
  <c r="AC15" i="4"/>
  <c r="AQ15" i="4" s="1"/>
  <c r="AD15" i="4"/>
  <c r="AR15" i="4" s="1"/>
  <c r="AE15" i="4"/>
  <c r="AS15" i="4" s="1"/>
  <c r="U12" i="4"/>
  <c r="AI12" i="4"/>
  <c r="U15" i="4"/>
  <c r="AI15" i="4" s="1"/>
  <c r="U11" i="4"/>
  <c r="AI11" i="4" s="1"/>
  <c r="V10" i="4"/>
  <c r="AJ10" i="4" s="1"/>
  <c r="W10" i="4"/>
  <c r="AK10" i="4"/>
  <c r="X10" i="4"/>
  <c r="AL10" i="4" s="1"/>
  <c r="Z10" i="4"/>
  <c r="AN10" i="4" s="1"/>
  <c r="AA10" i="4"/>
  <c r="AO10" i="4" s="1"/>
  <c r="AB10" i="4"/>
  <c r="AP10" i="4"/>
  <c r="AC10" i="4"/>
  <c r="AQ10" i="4" s="1"/>
  <c r="AD10" i="4"/>
  <c r="AR10" i="4" s="1"/>
  <c r="AF10" i="4"/>
  <c r="AT10" i="4" s="1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 s="1"/>
  <c r="W15" i="10"/>
  <c r="AK15" i="10" s="1"/>
  <c r="X15" i="10"/>
  <c r="AL15" i="10"/>
  <c r="AA15" i="10"/>
  <c r="AO15" i="10" s="1"/>
  <c r="AC15" i="10"/>
  <c r="AQ15" i="10" s="1"/>
  <c r="AD15" i="10"/>
  <c r="AR15" i="10" s="1"/>
  <c r="AG15" i="10"/>
  <c r="AU15" i="10"/>
  <c r="W13" i="10"/>
  <c r="AK13" i="10" s="1"/>
  <c r="X13" i="10"/>
  <c r="AL13" i="10" s="1"/>
  <c r="Y13" i="10"/>
  <c r="AM13" i="10" s="1"/>
  <c r="AA13" i="10"/>
  <c r="AO13" i="10"/>
  <c r="AB13" i="10"/>
  <c r="AP13" i="10" s="1"/>
  <c r="AC13" i="10"/>
  <c r="AQ13" i="10" s="1"/>
  <c r="AD13" i="10"/>
  <c r="AR13" i="10" s="1"/>
  <c r="AE13" i="10"/>
  <c r="AS13" i="10"/>
  <c r="AG13" i="10"/>
  <c r="AU13" i="10" s="1"/>
  <c r="V13" i="10"/>
  <c r="AJ13" i="10" s="1"/>
  <c r="W11" i="10"/>
  <c r="AK11" i="10" s="1"/>
  <c r="X11" i="10"/>
  <c r="AL11" i="10"/>
  <c r="Y11" i="10"/>
  <c r="AM11" i="10" s="1"/>
  <c r="AA11" i="10"/>
  <c r="AO11" i="10" s="1"/>
  <c r="AB11" i="10"/>
  <c r="AP11" i="10" s="1"/>
  <c r="AC11" i="10"/>
  <c r="AQ11" i="10"/>
  <c r="AD11" i="10"/>
  <c r="AR11" i="10" s="1"/>
  <c r="AE11" i="10"/>
  <c r="AS11" i="10" s="1"/>
  <c r="AG11" i="10"/>
  <c r="AU11" i="10" s="1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AJ13" i="1"/>
  <c r="U15" i="5"/>
  <c r="AI15" i="5" s="1"/>
  <c r="AB15" i="5"/>
  <c r="AP15" i="5" s="1"/>
  <c r="U14" i="5"/>
  <c r="AI14" i="5" s="1"/>
  <c r="V14" i="5"/>
  <c r="AJ14" i="5" s="1"/>
  <c r="Y14" i="5"/>
  <c r="AM14" i="5" s="1"/>
  <c r="AA14" i="5"/>
  <c r="AO14" i="5" s="1"/>
  <c r="AB14" i="5"/>
  <c r="AP14" i="5" s="1"/>
  <c r="AE14" i="5"/>
  <c r="AS14" i="5" s="1"/>
  <c r="U12" i="5"/>
  <c r="AI12" i="5" s="1"/>
  <c r="V12" i="5"/>
  <c r="AJ12" i="5" s="1"/>
  <c r="W12" i="5"/>
  <c r="AK12" i="5"/>
  <c r="Y12" i="5"/>
  <c r="AM12" i="5" s="1"/>
  <c r="Z12" i="5"/>
  <c r="AN12" i="5" s="1"/>
  <c r="AA12" i="5"/>
  <c r="AO12" i="5" s="1"/>
  <c r="AB12" i="5"/>
  <c r="AP12" i="5"/>
  <c r="AC12" i="5"/>
  <c r="AQ12" i="5" s="1"/>
  <c r="AE12" i="5"/>
  <c r="AS12" i="5" s="1"/>
  <c r="T12" i="5"/>
  <c r="AH12" i="5" s="1"/>
  <c r="U10" i="5"/>
  <c r="AI10" i="5"/>
  <c r="V10" i="5"/>
  <c r="AJ10" i="5" s="1"/>
  <c r="W10" i="5"/>
  <c r="AK10" i="5"/>
  <c r="Y10" i="5"/>
  <c r="AM10" i="5" s="1"/>
  <c r="Z10" i="5"/>
  <c r="AN10" i="5"/>
  <c r="AA10" i="5"/>
  <c r="AO10" i="5" s="1"/>
  <c r="AB10" i="5"/>
  <c r="AP10" i="5" s="1"/>
  <c r="AC10" i="5"/>
  <c r="AQ10" i="5" s="1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U59" i="5"/>
  <c r="BV60" i="1" s="1"/>
  <c r="BU60" i="5"/>
  <c r="AY57" i="4" s="1"/>
  <c r="BV61" i="1"/>
  <c r="BU61" i="5"/>
  <c r="AY58" i="4" s="1"/>
  <c r="BU62" i="5"/>
  <c r="AY59" i="4" s="1"/>
  <c r="BV77" i="3"/>
  <c r="K96" i="9"/>
  <c r="J96" i="9" s="1"/>
  <c r="K97" i="9"/>
  <c r="J97" i="9" s="1"/>
  <c r="K98" i="9"/>
  <c r="J98" i="9" s="1"/>
  <c r="K99" i="9"/>
  <c r="J99" i="9"/>
  <c r="K100" i="9"/>
  <c r="J100" i="9" s="1"/>
  <c r="O96" i="9"/>
  <c r="O97" i="9"/>
  <c r="O98" i="9"/>
  <c r="O99" i="9"/>
  <c r="O100" i="9"/>
  <c r="K82" i="9"/>
  <c r="J82" i="9" s="1"/>
  <c r="K83" i="9"/>
  <c r="J83" i="9"/>
  <c r="K84" i="9"/>
  <c r="J84" i="9"/>
  <c r="K85" i="9"/>
  <c r="J85" i="9"/>
  <c r="K86" i="9"/>
  <c r="J86" i="9" s="1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 s="1"/>
  <c r="K73" i="9"/>
  <c r="J73" i="9"/>
  <c r="K60" i="9"/>
  <c r="J60" i="9" s="1"/>
  <c r="K61" i="9"/>
  <c r="J61" i="9" s="1"/>
  <c r="K62" i="9"/>
  <c r="J62" i="9" s="1"/>
  <c r="K63" i="9"/>
  <c r="J63" i="9"/>
  <c r="K64" i="9"/>
  <c r="J64" i="9" s="1"/>
  <c r="K47" i="9"/>
  <c r="J47" i="9" s="1"/>
  <c r="K48" i="9"/>
  <c r="J48" i="9" s="1"/>
  <c r="K49" i="9"/>
  <c r="J49" i="9"/>
  <c r="K50" i="9"/>
  <c r="J50" i="9" s="1"/>
  <c r="K51" i="9"/>
  <c r="J51" i="9" s="1"/>
  <c r="K27" i="9"/>
  <c r="J27" i="9" s="1"/>
  <c r="K28" i="9"/>
  <c r="J28" i="9"/>
  <c r="K29" i="9"/>
  <c r="J29" i="9" s="1"/>
  <c r="K30" i="9"/>
  <c r="J30" i="9" s="1"/>
  <c r="K31" i="9"/>
  <c r="J31" i="9" s="1"/>
  <c r="K14" i="9"/>
  <c r="J14" i="9"/>
  <c r="K15" i="9"/>
  <c r="J15" i="9" s="1"/>
  <c r="K16" i="9"/>
  <c r="J16" i="9" s="1"/>
  <c r="K17" i="9"/>
  <c r="J17" i="9" s="1"/>
  <c r="K18" i="9"/>
  <c r="J18" i="9"/>
  <c r="M10" i="3"/>
  <c r="O25" i="3" s="1"/>
  <c r="M13" i="4"/>
  <c r="L18" i="10"/>
  <c r="L17" i="10"/>
  <c r="N16" i="10"/>
  <c r="N15" i="10"/>
  <c r="N18" i="10"/>
  <c r="N17" i="10"/>
  <c r="P35" i="10" s="1"/>
  <c r="BV62" i="1"/>
  <c r="BV63" i="1"/>
  <c r="P44" i="10"/>
  <c r="S44" i="10"/>
  <c r="K180" i="9"/>
  <c r="J180" i="9" s="1"/>
  <c r="K181" i="9"/>
  <c r="K4" i="4"/>
  <c r="O170" i="9"/>
  <c r="O171" i="9"/>
  <c r="O169" i="9"/>
  <c r="K171" i="9"/>
  <c r="J171" i="9"/>
  <c r="K170" i="9"/>
  <c r="J170" i="9" s="1"/>
  <c r="K169" i="9"/>
  <c r="J169" i="9" s="1"/>
  <c r="N5" i="10"/>
  <c r="F40" i="10" s="1"/>
  <c r="L5" i="10"/>
  <c r="P33" i="10" s="1"/>
  <c r="K6" i="9"/>
  <c r="J6" i="9" s="1"/>
  <c r="K39" i="9"/>
  <c r="J39" i="9"/>
  <c r="K32" i="9"/>
  <c r="J32" i="9"/>
  <c r="BT10" i="4" s="1" a="1"/>
  <c r="K19" i="9"/>
  <c r="J19" i="9" s="1"/>
  <c r="BT12" i="4" s="1" a="1"/>
  <c r="BT12" i="4" s="1"/>
  <c r="K52" i="9"/>
  <c r="J52" i="9" s="1"/>
  <c r="BT11" i="3" s="1" a="1"/>
  <c r="K87" i="9"/>
  <c r="J87" i="9"/>
  <c r="BT15" i="1"/>
  <c r="K186" i="9"/>
  <c r="J186" i="9"/>
  <c r="O26" i="1"/>
  <c r="R25" i="1" s="1"/>
  <c r="K179" i="9"/>
  <c r="J179" i="9"/>
  <c r="K173" i="9"/>
  <c r="J173" i="9" s="1"/>
  <c r="K134" i="9"/>
  <c r="J134" i="9"/>
  <c r="K163" i="9"/>
  <c r="J163" i="9" s="1"/>
  <c r="K182" i="9"/>
  <c r="J182" i="9" s="1"/>
  <c r="K178" i="9"/>
  <c r="J178" i="9" s="1"/>
  <c r="R37" i="4" s="1"/>
  <c r="K133" i="9"/>
  <c r="J133" i="9"/>
  <c r="K105" i="9"/>
  <c r="J105" i="9" s="1"/>
  <c r="K88" i="9"/>
  <c r="J88" i="9" s="1"/>
  <c r="K5" i="3"/>
  <c r="T13" i="1"/>
  <c r="T15" i="1"/>
  <c r="T12" i="1"/>
  <c r="T10" i="1"/>
  <c r="T9" i="1"/>
  <c r="J11" i="3"/>
  <c r="L11" i="3"/>
  <c r="BM11" i="3"/>
  <c r="BM21" i="3"/>
  <c r="BM32" i="3" s="1"/>
  <c r="BM43" i="3" s="1"/>
  <c r="M11" i="3"/>
  <c r="K4" i="3"/>
  <c r="L9" i="3" s="1"/>
  <c r="O9" i="3" s="1"/>
  <c r="BK9" i="3" s="1"/>
  <c r="M9" i="3"/>
  <c r="AY9" i="3" s="1"/>
  <c r="K36" i="9"/>
  <c r="J36" i="9"/>
  <c r="BT12" i="3" a="1"/>
  <c r="BT12" i="3" s="1"/>
  <c r="O26" i="3"/>
  <c r="CA4" i="3"/>
  <c r="O30" i="3"/>
  <c r="O28" i="3"/>
  <c r="O29" i="3"/>
  <c r="O19" i="3"/>
  <c r="R19" i="3" s="1"/>
  <c r="K123" i="9"/>
  <c r="J123" i="9" s="1"/>
  <c r="O34" i="3"/>
  <c r="K126" i="9"/>
  <c r="J126" i="9" s="1"/>
  <c r="K158" i="9"/>
  <c r="J158" i="9"/>
  <c r="K176" i="9"/>
  <c r="J176" i="9" s="1"/>
  <c r="K177" i="9"/>
  <c r="J177" i="9" s="1"/>
  <c r="K102" i="9"/>
  <c r="J102" i="9"/>
  <c r="K106" i="9"/>
  <c r="J106" i="9"/>
  <c r="K120" i="9"/>
  <c r="J120" i="9" s="1"/>
  <c r="K149" i="9"/>
  <c r="J149" i="9" s="1"/>
  <c r="T10" i="3"/>
  <c r="T12" i="3"/>
  <c r="T9" i="3"/>
  <c r="P40" i="10"/>
  <c r="K5" i="4"/>
  <c r="F20" i="4" s="1"/>
  <c r="F27" i="10"/>
  <c r="F29" i="10"/>
  <c r="F43" i="10"/>
  <c r="AZ53" i="10" s="1"/>
  <c r="F44" i="10"/>
  <c r="G26" i="10"/>
  <c r="G27" i="10"/>
  <c r="G29" i="10"/>
  <c r="G41" i="10"/>
  <c r="G42" i="10"/>
  <c r="G44" i="10"/>
  <c r="CI6" i="10"/>
  <c r="CE25" i="10"/>
  <c r="CE26" i="10"/>
  <c r="CE28" i="10"/>
  <c r="C21" i="10"/>
  <c r="D36" i="10" s="1"/>
  <c r="N9" i="10"/>
  <c r="M16" i="10"/>
  <c r="AZ16" i="10" s="1"/>
  <c r="M18" i="10"/>
  <c r="AZ18" i="10"/>
  <c r="M17" i="10"/>
  <c r="G43" i="10"/>
  <c r="H43" i="10" s="1"/>
  <c r="G40" i="10"/>
  <c r="K17" i="10"/>
  <c r="CE42" i="10"/>
  <c r="CE43" i="10"/>
  <c r="CE40" i="10"/>
  <c r="CE41" i="10"/>
  <c r="C36" i="10"/>
  <c r="L4" i="10"/>
  <c r="M9" i="10" s="1"/>
  <c r="BY50" i="10"/>
  <c r="K65" i="9"/>
  <c r="J65" i="9"/>
  <c r="BW10" i="10" a="1"/>
  <c r="BW10" i="10" s="1"/>
  <c r="U10" i="10"/>
  <c r="M11" i="10"/>
  <c r="M12" i="10"/>
  <c r="N11" i="10"/>
  <c r="BN11" i="10" s="1"/>
  <c r="BN28" i="10" s="1"/>
  <c r="N12" i="10"/>
  <c r="P32" i="10"/>
  <c r="K153" i="9"/>
  <c r="J153" i="9" s="1"/>
  <c r="Q22" i="5" s="1"/>
  <c r="K159" i="9"/>
  <c r="J159" i="9" s="1"/>
  <c r="P25" i="10"/>
  <c r="K151" i="9"/>
  <c r="J151" i="9" s="1"/>
  <c r="K160" i="9"/>
  <c r="J160" i="9" s="1"/>
  <c r="K131" i="9"/>
  <c r="J131" i="9"/>
  <c r="K132" i="9"/>
  <c r="J132" i="9" s="1"/>
  <c r="K113" i="9"/>
  <c r="J113" i="9" s="1"/>
  <c r="K130" i="9"/>
  <c r="J130" i="9" s="1"/>
  <c r="G25" i="10"/>
  <c r="G28" i="10"/>
  <c r="K154" i="9"/>
  <c r="J154" i="9" s="1"/>
  <c r="K119" i="9"/>
  <c r="J119" i="9" s="1"/>
  <c r="P39" i="10"/>
  <c r="P43" i="10"/>
  <c r="K148" i="9"/>
  <c r="J148" i="9"/>
  <c r="BY51" i="10"/>
  <c r="BY57" i="10"/>
  <c r="BY54" i="10"/>
  <c r="BQ17" i="10"/>
  <c r="BQ34" i="10"/>
  <c r="BQ50" i="10" s="1"/>
  <c r="BQ67" i="10" s="1"/>
  <c r="M13" i="10"/>
  <c r="BN13" i="10" s="1"/>
  <c r="BN30" i="10" s="1"/>
  <c r="M14" i="10"/>
  <c r="BN14" i="10"/>
  <c r="M14" i="4"/>
  <c r="M15" i="4"/>
  <c r="BS66" i="10"/>
  <c r="BR66" i="10"/>
  <c r="K18" i="10"/>
  <c r="CE27" i="10"/>
  <c r="L10" i="4"/>
  <c r="M10" i="4"/>
  <c r="O10" i="4" s="1"/>
  <c r="R10" i="4" s="1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 s="1"/>
  <c r="S10" i="5"/>
  <c r="S12" i="5"/>
  <c r="S13" i="5"/>
  <c r="S14" i="5"/>
  <c r="S9" i="5"/>
  <c r="T10" i="4"/>
  <c r="T11" i="4"/>
  <c r="T12" i="4"/>
  <c r="T13" i="4"/>
  <c r="T15" i="4"/>
  <c r="T9" i="4"/>
  <c r="BU50" i="5"/>
  <c r="BV65" i="3" s="1"/>
  <c r="K74" i="9"/>
  <c r="J74" i="9"/>
  <c r="BT11" i="4" s="1" a="1"/>
  <c r="BT11" i="4" s="1"/>
  <c r="BU51" i="5"/>
  <c r="BV52" i="1" s="1"/>
  <c r="BU57" i="5"/>
  <c r="AY54" i="4" s="1"/>
  <c r="BU54" i="5"/>
  <c r="BV55" i="1"/>
  <c r="BU56" i="5"/>
  <c r="BV71" i="3" s="1"/>
  <c r="O22" i="4"/>
  <c r="K152" i="9"/>
  <c r="J152" i="9"/>
  <c r="R22" i="4" s="1"/>
  <c r="O23" i="4"/>
  <c r="K138" i="9"/>
  <c r="J138" i="9" s="1"/>
  <c r="O24" i="4"/>
  <c r="K139" i="9"/>
  <c r="J139" i="9" s="1"/>
  <c r="O25" i="4"/>
  <c r="O26" i="4"/>
  <c r="K145" i="9"/>
  <c r="J145" i="9"/>
  <c r="O27" i="4"/>
  <c r="O28" i="4"/>
  <c r="O29" i="4"/>
  <c r="O31" i="4"/>
  <c r="K157" i="9"/>
  <c r="J157" i="9" s="1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BY56" i="10"/>
  <c r="BY55" i="10"/>
  <c r="BY53" i="10"/>
  <c r="BY52" i="10"/>
  <c r="K150" i="9"/>
  <c r="J150" i="9"/>
  <c r="K109" i="9"/>
  <c r="J109" i="9" s="1"/>
  <c r="O39" i="5"/>
  <c r="Q38" i="5" s="1"/>
  <c r="K116" i="9"/>
  <c r="J116" i="9" s="1"/>
  <c r="K136" i="9"/>
  <c r="J136" i="9" s="1"/>
  <c r="O136" i="9"/>
  <c r="K121" i="9"/>
  <c r="J121" i="9" s="1"/>
  <c r="K122" i="9"/>
  <c r="J122" i="9"/>
  <c r="O120" i="9"/>
  <c r="O121" i="9"/>
  <c r="O122" i="9"/>
  <c r="K183" i="9"/>
  <c r="J183" i="9" s="1"/>
  <c r="O183" i="9"/>
  <c r="K184" i="9"/>
  <c r="J184" i="9"/>
  <c r="O184" i="9"/>
  <c r="K185" i="9"/>
  <c r="J185" i="9" s="1"/>
  <c r="O185" i="9"/>
  <c r="K174" i="9"/>
  <c r="J174" i="9" s="1"/>
  <c r="O174" i="9"/>
  <c r="K175" i="9"/>
  <c r="J175" i="9" s="1"/>
  <c r="O175" i="9"/>
  <c r="O33" i="3"/>
  <c r="K168" i="9"/>
  <c r="J168" i="9" s="1"/>
  <c r="O168" i="9"/>
  <c r="K164" i="9"/>
  <c r="J164" i="9" s="1"/>
  <c r="O164" i="9"/>
  <c r="K165" i="9"/>
  <c r="J165" i="9" s="1"/>
  <c r="O165" i="9"/>
  <c r="K166" i="9"/>
  <c r="J166" i="9" s="1"/>
  <c r="O166" i="9"/>
  <c r="K155" i="9"/>
  <c r="J155" i="9" s="1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 s="1"/>
  <c r="O141" i="9"/>
  <c r="K142" i="9"/>
  <c r="J142" i="9" s="1"/>
  <c r="O142" i="9"/>
  <c r="K143" i="9"/>
  <c r="J143" i="9" s="1"/>
  <c r="O143" i="9"/>
  <c r="K144" i="9"/>
  <c r="J144" i="9" s="1"/>
  <c r="O144" i="9"/>
  <c r="K135" i="9"/>
  <c r="J135" i="9"/>
  <c r="O135" i="9"/>
  <c r="K137" i="9"/>
  <c r="J137" i="9"/>
  <c r="O137" i="9"/>
  <c r="K127" i="9"/>
  <c r="J127" i="9"/>
  <c r="O127" i="9"/>
  <c r="K128" i="9"/>
  <c r="J128" i="9" s="1"/>
  <c r="O128" i="9"/>
  <c r="K129" i="9"/>
  <c r="J129" i="9"/>
  <c r="O129" i="9"/>
  <c r="K124" i="9"/>
  <c r="J124" i="9" s="1"/>
  <c r="O124" i="9"/>
  <c r="K125" i="9"/>
  <c r="J125" i="9" s="1"/>
  <c r="O125" i="9"/>
  <c r="K117" i="9"/>
  <c r="J117" i="9" s="1"/>
  <c r="O117" i="9"/>
  <c r="K118" i="9"/>
  <c r="J118" i="9"/>
  <c r="O118" i="9"/>
  <c r="K114" i="9"/>
  <c r="J114" i="9"/>
  <c r="O114" i="9"/>
  <c r="K115" i="9"/>
  <c r="J115" i="9"/>
  <c r="O115" i="9"/>
  <c r="K110" i="9"/>
  <c r="J110" i="9" s="1"/>
  <c r="O110" i="9"/>
  <c r="K111" i="9"/>
  <c r="J111" i="9" s="1"/>
  <c r="O111" i="9"/>
  <c r="K112" i="9"/>
  <c r="J112" i="9" s="1"/>
  <c r="O112" i="9"/>
  <c r="K107" i="9"/>
  <c r="J107" i="9" s="1"/>
  <c r="O107" i="9"/>
  <c r="K108" i="9"/>
  <c r="J108" i="9" s="1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 s="1"/>
  <c r="O94" i="9"/>
  <c r="K95" i="9"/>
  <c r="J95" i="9" s="1"/>
  <c r="O95" i="9"/>
  <c r="K78" i="9"/>
  <c r="J78" i="9" s="1"/>
  <c r="O78" i="9"/>
  <c r="K79" i="9"/>
  <c r="J79" i="9" s="1"/>
  <c r="O79" i="9"/>
  <c r="K80" i="9"/>
  <c r="J80" i="9" s="1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 s="1"/>
  <c r="O71" i="9"/>
  <c r="K56" i="9"/>
  <c r="J56" i="9" s="1"/>
  <c r="O56" i="9"/>
  <c r="K57" i="9"/>
  <c r="J57" i="9" s="1"/>
  <c r="O57" i="9"/>
  <c r="K58" i="9"/>
  <c r="J58" i="9" s="1"/>
  <c r="O58" i="9"/>
  <c r="K59" i="9"/>
  <c r="J59" i="9"/>
  <c r="O59" i="9"/>
  <c r="O46" i="9"/>
  <c r="K46" i="9"/>
  <c r="J46" i="9"/>
  <c r="O45" i="9"/>
  <c r="K45" i="9"/>
  <c r="J45" i="9" s="1"/>
  <c r="O44" i="9"/>
  <c r="K44" i="9"/>
  <c r="J44" i="9" s="1"/>
  <c r="O43" i="9"/>
  <c r="K43" i="9"/>
  <c r="J43" i="9" s="1"/>
  <c r="K23" i="9"/>
  <c r="J23" i="9" s="1"/>
  <c r="O23" i="9"/>
  <c r="K24" i="9"/>
  <c r="J24" i="9" s="1"/>
  <c r="O24" i="9"/>
  <c r="K25" i="9"/>
  <c r="J25" i="9" s="1"/>
  <c r="O25" i="9"/>
  <c r="K26" i="9"/>
  <c r="J26" i="9"/>
  <c r="O26" i="9"/>
  <c r="O10" i="9"/>
  <c r="O11" i="9"/>
  <c r="O12" i="9"/>
  <c r="O13" i="9"/>
  <c r="K10" i="9"/>
  <c r="J10" i="9" s="1"/>
  <c r="K11" i="9"/>
  <c r="J11" i="9" s="1"/>
  <c r="L12" i="3"/>
  <c r="M12" i="3"/>
  <c r="O12" i="3" s="1"/>
  <c r="R12" i="3" s="1"/>
  <c r="L15" i="4"/>
  <c r="BU52" i="5"/>
  <c r="AY49" i="4" s="1"/>
  <c r="BU53" i="5"/>
  <c r="AY50" i="4" s="1"/>
  <c r="BU55" i="5"/>
  <c r="AY52" i="4" s="1"/>
  <c r="O132" i="9"/>
  <c r="O167" i="9"/>
  <c r="O88" i="9"/>
  <c r="K90" i="9"/>
  <c r="J90" i="9" s="1"/>
  <c r="K89" i="9"/>
  <c r="J89" i="9" s="1"/>
  <c r="O90" i="9"/>
  <c r="O89" i="9"/>
  <c r="O126" i="9"/>
  <c r="O74" i="9"/>
  <c r="O75" i="9"/>
  <c r="K75" i="9"/>
  <c r="J75" i="9"/>
  <c r="K76" i="9"/>
  <c r="J76" i="9"/>
  <c r="O76" i="9"/>
  <c r="O54" i="9"/>
  <c r="K54" i="9"/>
  <c r="J54" i="9" s="1"/>
  <c r="O21" i="9"/>
  <c r="K21" i="9"/>
  <c r="J21" i="9" s="1"/>
  <c r="K12" i="9"/>
  <c r="J12" i="9" s="1"/>
  <c r="K8" i="9"/>
  <c r="J8" i="9"/>
  <c r="O8" i="9"/>
  <c r="O41" i="9"/>
  <c r="K41" i="9"/>
  <c r="J41" i="9" s="1"/>
  <c r="K161" i="9"/>
  <c r="J161" i="9" s="1"/>
  <c r="K162" i="9"/>
  <c r="J162" i="9"/>
  <c r="K77" i="9"/>
  <c r="J77" i="9" s="1"/>
  <c r="K67" i="9"/>
  <c r="J67" i="9" s="1"/>
  <c r="K66" i="9"/>
  <c r="J66" i="9" s="1"/>
  <c r="K55" i="9"/>
  <c r="J55" i="9"/>
  <c r="K53" i="9"/>
  <c r="J53" i="9" s="1"/>
  <c r="K42" i="9"/>
  <c r="J42" i="9" s="1"/>
  <c r="K33" i="9"/>
  <c r="J33" i="9"/>
  <c r="BS10" i="5" s="1" a="1"/>
  <c r="BS10" i="5" s="1"/>
  <c r="BT10" i="4"/>
  <c r="K37" i="9"/>
  <c r="J37" i="9" s="1"/>
  <c r="BT15" i="4" a="1"/>
  <c r="BT15" i="4" s="1"/>
  <c r="K38" i="9"/>
  <c r="J38" i="9" s="1"/>
  <c r="K40" i="9"/>
  <c r="J40" i="9"/>
  <c r="BT13" i="4" a="1"/>
  <c r="BT13" i="4" s="1"/>
  <c r="K22" i="9"/>
  <c r="J22" i="9" s="1"/>
  <c r="K20" i="9"/>
  <c r="J20" i="9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R24" i="3" s="1"/>
  <c r="O22" i="3"/>
  <c r="R22" i="3" s="1"/>
  <c r="O21" i="3"/>
  <c r="O20" i="3"/>
  <c r="R20" i="3" s="1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4" i="5"/>
  <c r="D24" i="5" s="1"/>
  <c r="K7" i="9"/>
  <c r="J7" i="9"/>
  <c r="BT9" i="1" s="1" a="1"/>
  <c r="BT9" i="1" s="1"/>
  <c r="O7" i="9"/>
  <c r="O6" i="9"/>
  <c r="O9" i="9"/>
  <c r="K9" i="9"/>
  <c r="J9" i="9" s="1"/>
  <c r="BP14" i="4"/>
  <c r="BP27" i="4"/>
  <c r="BP40" i="4" s="1"/>
  <c r="BP53" i="4" s="1"/>
  <c r="E22" i="3"/>
  <c r="BZ22" i="3"/>
  <c r="R21" i="3"/>
  <c r="O31" i="3"/>
  <c r="O32" i="3"/>
  <c r="R33" i="3"/>
  <c r="R35" i="3"/>
  <c r="BN17" i="10"/>
  <c r="BN34" i="10" s="1"/>
  <c r="BM17" i="10"/>
  <c r="BS15" i="5" a="1"/>
  <c r="BS15" i="5" s="1"/>
  <c r="BN16" i="10"/>
  <c r="BN33" i="10" s="1"/>
  <c r="BN49" i="10" s="1"/>
  <c r="BN66" i="10"/>
  <c r="D21" i="10"/>
  <c r="BT10" i="1" a="1"/>
  <c r="BT10" i="1" s="1"/>
  <c r="BW11" i="10" a="1"/>
  <c r="BW11" i="10"/>
  <c r="BT12" i="1" a="1"/>
  <c r="BT12" i="1" s="1"/>
  <c r="BW13" i="10" a="1"/>
  <c r="BW13" i="10" s="1"/>
  <c r="BS12" i="5" a="1"/>
  <c r="BS12" i="5" s="1"/>
  <c r="BW9" i="10" a="1"/>
  <c r="BW9" i="10" s="1"/>
  <c r="BS9" i="5" a="1"/>
  <c r="BS9" i="5"/>
  <c r="BW15" i="10" a="1"/>
  <c r="BW15" i="10" s="1"/>
  <c r="BT10" i="3" a="1"/>
  <c r="BT10" i="3" s="1"/>
  <c r="BT13" i="1" a="1"/>
  <c r="BT13" i="1" s="1"/>
  <c r="BS14" i="5" a="1"/>
  <c r="BS14" i="5" s="1"/>
  <c r="P31" i="10"/>
  <c r="S31" i="10" s="1"/>
  <c r="P46" i="10"/>
  <c r="S45" i="10"/>
  <c r="T14" i="1"/>
  <c r="BT14" i="1" a="1"/>
  <c r="BT14" i="1" s="1"/>
  <c r="K11" i="3"/>
  <c r="BT11" i="3"/>
  <c r="BQ21" i="3" s="1"/>
  <c r="BP11" i="3"/>
  <c r="BP21" i="3"/>
  <c r="BP32" i="3" s="1"/>
  <c r="BP43" i="3" s="1"/>
  <c r="BT14" i="4" a="1"/>
  <c r="BT14" i="4" s="1"/>
  <c r="S15" i="5"/>
  <c r="N11" i="4"/>
  <c r="AY12" i="3"/>
  <c r="AY16" i="4"/>
  <c r="AY13" i="3"/>
  <c r="O15" i="4"/>
  <c r="R15" i="4" s="1"/>
  <c r="N11" i="3"/>
  <c r="N15" i="4"/>
  <c r="O34" i="4"/>
  <c r="R34" i="4" s="1"/>
  <c r="O30" i="4"/>
  <c r="R30" i="4" s="1"/>
  <c r="R31" i="1"/>
  <c r="BZ18" i="1"/>
  <c r="T11" i="3"/>
  <c r="F24" i="4"/>
  <c r="L13" i="4"/>
  <c r="AY13" i="4" s="1"/>
  <c r="F22" i="4"/>
  <c r="AY40" i="4"/>
  <c r="O9" i="4"/>
  <c r="AY38" i="4"/>
  <c r="F23" i="4"/>
  <c r="AY41" i="4" s="1"/>
  <c r="F21" i="4"/>
  <c r="H21" i="4" s="1"/>
  <c r="O11" i="4"/>
  <c r="R11" i="4" s="1"/>
  <c r="R23" i="4"/>
  <c r="N10" i="4"/>
  <c r="BM10" i="4" s="1"/>
  <c r="BM23" i="4" s="1"/>
  <c r="BM36" i="4" s="1"/>
  <c r="BM49" i="4" s="1"/>
  <c r="AY9" i="4"/>
  <c r="L12" i="4"/>
  <c r="N12" i="4" s="1"/>
  <c r="BM12" i="4" s="1"/>
  <c r="BM25" i="4" s="1"/>
  <c r="BM38" i="4" s="1"/>
  <c r="R31" i="4"/>
  <c r="K14" i="4"/>
  <c r="T14" i="4"/>
  <c r="E40" i="10"/>
  <c r="CE39" i="10"/>
  <c r="C48" i="10" s="1"/>
  <c r="E25" i="10"/>
  <c r="CE24" i="10" s="1"/>
  <c r="C31" i="10" s="1"/>
  <c r="C33" i="10"/>
  <c r="BV56" i="1"/>
  <c r="BV70" i="3"/>
  <c r="BV66" i="3"/>
  <c r="F22" i="3"/>
  <c r="AY11" i="3"/>
  <c r="F23" i="3"/>
  <c r="AY29" i="3" s="1"/>
  <c r="R34" i="3"/>
  <c r="F26" i="3"/>
  <c r="F24" i="3"/>
  <c r="F25" i="3"/>
  <c r="AY31" i="3" s="1"/>
  <c r="L10" i="3"/>
  <c r="BX20" i="4"/>
  <c r="H20" i="4"/>
  <c r="AY48" i="4"/>
  <c r="AY47" i="4"/>
  <c r="BV54" i="1"/>
  <c r="BV68" i="3"/>
  <c r="BV67" i="3"/>
  <c r="BV69" i="3"/>
  <c r="AY53" i="4"/>
  <c r="AY51" i="4"/>
  <c r="H44" i="10"/>
  <c r="BN12" i="10"/>
  <c r="BN29" i="10"/>
  <c r="BN45" i="10" s="1"/>
  <c r="BN62" i="10" s="1"/>
  <c r="BN46" i="10"/>
  <c r="BN63" i="10" s="1"/>
  <c r="BM13" i="10"/>
  <c r="BP13" i="10" s="1"/>
  <c r="P28" i="10"/>
  <c r="S28" i="10"/>
  <c r="P27" i="10"/>
  <c r="S27" i="10" s="1"/>
  <c r="AZ54" i="10"/>
  <c r="H27" i="10"/>
  <c r="BN31" i="10"/>
  <c r="BN47" i="10" s="1"/>
  <c r="BN64" i="10" s="1"/>
  <c r="BM14" i="10"/>
  <c r="BM31" i="10"/>
  <c r="BM47" i="10"/>
  <c r="BM64" i="10" s="1"/>
  <c r="O11" i="10"/>
  <c r="BR11" i="10"/>
  <c r="BR28" i="10" s="1"/>
  <c r="F42" i="10"/>
  <c r="P41" i="10"/>
  <c r="P42" i="10"/>
  <c r="S42" i="10" s="1"/>
  <c r="AZ9" i="10"/>
  <c r="P9" i="10"/>
  <c r="BL9" i="10" s="1"/>
  <c r="M10" i="10"/>
  <c r="P10" i="10" s="1"/>
  <c r="AZ17" i="10"/>
  <c r="BV72" i="3"/>
  <c r="R36" i="4"/>
  <c r="BV51" i="1"/>
  <c r="BV53" i="1"/>
  <c r="BV58" i="1"/>
  <c r="BN18" i="10"/>
  <c r="BN35" i="10" s="1"/>
  <c r="BN51" i="10" s="1"/>
  <c r="BN68" i="10" s="1"/>
  <c r="U18" i="10"/>
  <c r="U17" i="10"/>
  <c r="BQ18" i="10"/>
  <c r="BQ35" i="10" s="1"/>
  <c r="BQ51" i="10" s="1"/>
  <c r="BP18" i="10"/>
  <c r="BP35" i="10"/>
  <c r="BP51" i="10" s="1"/>
  <c r="BP68" i="10" s="1"/>
  <c r="BP17" i="10"/>
  <c r="O17" i="10"/>
  <c r="AZ19" i="10"/>
  <c r="AZ20" i="10"/>
  <c r="R25" i="3"/>
  <c r="R25" i="4"/>
  <c r="R24" i="4"/>
  <c r="S43" i="10"/>
  <c r="Q40" i="5"/>
  <c r="S32" i="10"/>
  <c r="S29" i="10"/>
  <c r="R38" i="4"/>
  <c r="R29" i="4"/>
  <c r="R26" i="3"/>
  <c r="R32" i="4"/>
  <c r="S34" i="10"/>
  <c r="Q42" i="5"/>
  <c r="S25" i="10"/>
  <c r="R27" i="4"/>
  <c r="J167" i="9"/>
  <c r="R31" i="3"/>
  <c r="R29" i="3"/>
  <c r="S39" i="10"/>
  <c r="R28" i="1"/>
  <c r="Q37" i="5"/>
  <c r="S26" i="10"/>
  <c r="R23" i="3"/>
  <c r="R28" i="4"/>
  <c r="S30" i="10"/>
  <c r="S33" i="10"/>
  <c r="R32" i="3"/>
  <c r="R29" i="1"/>
  <c r="S40" i="10"/>
  <c r="R35" i="4"/>
  <c r="R30" i="3"/>
  <c r="R28" i="3"/>
  <c r="H29" i="10"/>
  <c r="AZ45" i="10"/>
  <c r="P36" i="10"/>
  <c r="S36" i="10"/>
  <c r="AZ43" i="10"/>
  <c r="AY39" i="4"/>
  <c r="C28" i="3"/>
  <c r="E28" i="3" s="1"/>
  <c r="H24" i="4"/>
  <c r="H22" i="4"/>
  <c r="BN44" i="10"/>
  <c r="BN61" i="10" s="1"/>
  <c r="BQ19" i="10"/>
  <c r="BP19" i="10"/>
  <c r="BF17" i="10"/>
  <c r="AA17" i="10" s="1"/>
  <c r="AO17" i="10" s="1"/>
  <c r="BC17" i="10"/>
  <c r="BN50" i="10"/>
  <c r="BN67" i="10" s="1"/>
  <c r="BM16" i="10"/>
  <c r="BM33" i="10"/>
  <c r="BM49" i="10"/>
  <c r="BM66" i="10" s="1"/>
  <c r="S9" i="10"/>
  <c r="AZ50" i="10"/>
  <c r="BM18" i="10"/>
  <c r="BB34" i="10" s="1"/>
  <c r="BM35" i="10"/>
  <c r="BM51" i="10" s="1"/>
  <c r="BM68" i="10" s="1"/>
  <c r="BO11" i="3"/>
  <c r="BE11" i="3" s="1"/>
  <c r="Z11" i="3" s="1"/>
  <c r="AN11" i="3" s="1"/>
  <c r="BL11" i="3"/>
  <c r="BF11" i="3" s="1"/>
  <c r="BJ11" i="3"/>
  <c r="R30" i="1"/>
  <c r="O12" i="4"/>
  <c r="R12" i="4" s="1"/>
  <c r="BL10" i="4"/>
  <c r="H40" i="10"/>
  <c r="S35" i="10"/>
  <c r="P38" i="10"/>
  <c r="S38" i="10" s="1"/>
  <c r="H22" i="3"/>
  <c r="AY28" i="3"/>
  <c r="H25" i="3"/>
  <c r="H26" i="3"/>
  <c r="AY30" i="3"/>
  <c r="H24" i="3"/>
  <c r="C30" i="4"/>
  <c r="C26" i="4"/>
  <c r="E26" i="4"/>
  <c r="BM12" i="10"/>
  <c r="BM29" i="10" s="1"/>
  <c r="BM45" i="10" s="1"/>
  <c r="D31" i="10"/>
  <c r="S41" i="10"/>
  <c r="BQ68" i="10"/>
  <c r="AZ52" i="10"/>
  <c r="H42" i="10"/>
  <c r="AZ10" i="10"/>
  <c r="BP34" i="10"/>
  <c r="BQ36" i="10" s="1"/>
  <c r="BP36" i="10"/>
  <c r="BM34" i="10"/>
  <c r="BM50" i="10" s="1"/>
  <c r="BN19" i="10"/>
  <c r="BM19" i="10"/>
  <c r="BK50" i="10" s="1"/>
  <c r="BL67" i="10"/>
  <c r="BL34" i="10"/>
  <c r="BL50" i="10"/>
  <c r="BM36" i="10"/>
  <c r="BI34" i="10" s="1"/>
  <c r="BH34" i="10"/>
  <c r="BH67" i="10"/>
  <c r="BL17" i="10"/>
  <c r="BH17" i="10"/>
  <c r="AC17" i="10" s="1"/>
  <c r="AQ17" i="10" s="1"/>
  <c r="BC34" i="10"/>
  <c r="BF34" i="10"/>
  <c r="BR44" i="10"/>
  <c r="BR61" i="10" s="1"/>
  <c r="W17" i="10"/>
  <c r="AK17" i="10"/>
  <c r="AD17" i="10"/>
  <c r="AR17" i="10"/>
  <c r="BP50" i="10"/>
  <c r="AI9" i="10"/>
  <c r="P17" i="10"/>
  <c r="AZ11" i="3"/>
  <c r="U11" i="3"/>
  <c r="BC11" i="3"/>
  <c r="O11" i="3"/>
  <c r="R11" i="3"/>
  <c r="BO21" i="3"/>
  <c r="BB21" i="3" s="1"/>
  <c r="BO32" i="3"/>
  <c r="BG11" i="3"/>
  <c r="AB11" i="3" s="1"/>
  <c r="AP11" i="3" s="1"/>
  <c r="BM51" i="4"/>
  <c r="BM62" i="10"/>
  <c r="BK34" i="10"/>
  <c r="BK17" i="10"/>
  <c r="AF17" i="10" s="1"/>
  <c r="AT17" i="10" s="1"/>
  <c r="X11" i="3"/>
  <c r="AL11" i="3" s="1"/>
  <c r="AA11" i="3"/>
  <c r="AO11" i="3"/>
  <c r="V14" i="1"/>
  <c r="AJ14" i="1" s="1"/>
  <c r="BE32" i="3"/>
  <c r="Y11" i="3"/>
  <c r="AM11" i="3"/>
  <c r="AE11" i="3"/>
  <c r="AS11" i="3" s="1"/>
  <c r="BO43" i="3"/>
  <c r="BE21" i="3"/>
  <c r="BG21" i="3"/>
  <c r="BM52" i="10"/>
  <c r="BF50" i="10"/>
  <c r="BP52" i="10"/>
  <c r="BJ17" i="10"/>
  <c r="AE17" i="10"/>
  <c r="AS17" i="10" s="1"/>
  <c r="BP69" i="10"/>
  <c r="X14" i="5"/>
  <c r="AL14" i="5" s="1"/>
  <c r="BL12" i="4"/>
  <c r="BJ12" i="4"/>
  <c r="AE12" i="4" s="1"/>
  <c r="AS12" i="4" s="1"/>
  <c r="AC14" i="1"/>
  <c r="AQ14" i="1" s="1"/>
  <c r="BM69" i="10"/>
  <c r="BF67" i="10"/>
  <c r="BC67" i="10"/>
  <c r="Z15" i="10"/>
  <c r="AN15" i="10"/>
  <c r="Z17" i="10"/>
  <c r="AN17" i="10" s="1"/>
  <c r="BS67" i="10"/>
  <c r="X17" i="10"/>
  <c r="BR21" i="3"/>
  <c r="BR32" i="3" s="1"/>
  <c r="BR43" i="3"/>
  <c r="Y14" i="4"/>
  <c r="AM14" i="4" s="1"/>
  <c r="Y14" i="1"/>
  <c r="AM14" i="1" s="1"/>
  <c r="BQ32" i="3"/>
  <c r="BQ43" i="3" s="1"/>
  <c r="AG17" i="10"/>
  <c r="AU17" i="10"/>
  <c r="AL17" i="10"/>
  <c r="AH15" i="1"/>
  <c r="BE28" i="1"/>
  <c r="X15" i="5"/>
  <c r="AL15" i="5" s="1"/>
  <c r="BN36" i="10" l="1"/>
  <c r="BE13" i="10"/>
  <c r="Z13" i="10" s="1"/>
  <c r="BP30" i="10"/>
  <c r="BD10" i="4"/>
  <c r="Y10" i="4" s="1"/>
  <c r="BJ10" i="4"/>
  <c r="AE10" i="4" s="1"/>
  <c r="AS10" i="4" s="1"/>
  <c r="BL23" i="4"/>
  <c r="BK9" i="4"/>
  <c r="BM67" i="10"/>
  <c r="BE50" i="10"/>
  <c r="BN52" i="10"/>
  <c r="BP67" i="10"/>
  <c r="BQ69" i="10" s="1"/>
  <c r="BQ52" i="10"/>
  <c r="AY32" i="3"/>
  <c r="AY33" i="3" s="1"/>
  <c r="O27" i="3"/>
  <c r="R27" i="3" s="1"/>
  <c r="AY10" i="3"/>
  <c r="AY14" i="3" s="1"/>
  <c r="AY15" i="3" s="1"/>
  <c r="N10" i="3"/>
  <c r="BM10" i="3"/>
  <c r="BL25" i="4"/>
  <c r="BD12" i="4"/>
  <c r="Y12" i="4" s="1"/>
  <c r="AI11" i="3"/>
  <c r="BL26" i="10"/>
  <c r="BL42" i="10" s="1"/>
  <c r="BL59" i="10" s="1"/>
  <c r="AG9" i="10"/>
  <c r="BB43" i="3"/>
  <c r="BE43" i="3"/>
  <c r="BG43" i="3"/>
  <c r="BK43" i="3"/>
  <c r="BP15" i="4"/>
  <c r="BP28" i="4" s="1"/>
  <c r="BP41" i="4" s="1"/>
  <c r="BP54" i="4" s="1"/>
  <c r="BO15" i="4"/>
  <c r="BM11" i="4"/>
  <c r="BM24" i="4" s="1"/>
  <c r="BM37" i="4" s="1"/>
  <c r="BM50" i="4" s="1"/>
  <c r="BL11" i="4"/>
  <c r="BK32" i="3"/>
  <c r="R36" i="3"/>
  <c r="S10" i="10"/>
  <c r="AI10" i="10" s="1"/>
  <c r="BL10" i="10"/>
  <c r="AY42" i="4"/>
  <c r="AY43" i="4" s="1"/>
  <c r="O33" i="4"/>
  <c r="R33" i="4" s="1"/>
  <c r="C46" i="10"/>
  <c r="D46" i="10" s="1"/>
  <c r="N13" i="4"/>
  <c r="BL13" i="4" s="1"/>
  <c r="AZ22" i="10"/>
  <c r="BM30" i="10"/>
  <c r="BM46" i="10" s="1"/>
  <c r="BM63" i="10" s="1"/>
  <c r="H25" i="10"/>
  <c r="BM13" i="4"/>
  <c r="BK19" i="3"/>
  <c r="BK30" i="3" s="1"/>
  <c r="BK41" i="3" s="1"/>
  <c r="AF9" i="3"/>
  <c r="BG17" i="10"/>
  <c r="AB17" i="10" s="1"/>
  <c r="AP17" i="10" s="1"/>
  <c r="BK21" i="3"/>
  <c r="BL21" i="3"/>
  <c r="BD17" i="10"/>
  <c r="Y17" i="10" s="1"/>
  <c r="AM17" i="10" s="1"/>
  <c r="H23" i="4"/>
  <c r="H25" i="4" s="1"/>
  <c r="N12" i="3"/>
  <c r="BE34" i="10"/>
  <c r="H23" i="3"/>
  <c r="H27" i="3" s="1"/>
  <c r="BT9" i="4" a="1"/>
  <c r="BT9" i="4" s="1"/>
  <c r="R9" i="4" s="1"/>
  <c r="BT9" i="3" a="1"/>
  <c r="BT9" i="3" s="1"/>
  <c r="R9" i="3" s="1"/>
  <c r="BM11" i="10"/>
  <c r="BI11" i="3"/>
  <c r="AD11" i="3" s="1"/>
  <c r="BA17" i="10"/>
  <c r="V17" i="10" s="1"/>
  <c r="BK67" i="10"/>
  <c r="BK11" i="3"/>
  <c r="AF11" i="3" s="1"/>
  <c r="AT11" i="3" s="1"/>
  <c r="BB11" i="3"/>
  <c r="W11" i="3" s="1"/>
  <c r="C24" i="1"/>
  <c r="E24" i="1" s="1"/>
  <c r="C32" i="3"/>
  <c r="L14" i="4"/>
  <c r="R26" i="4"/>
  <c r="R39" i="4" s="1"/>
  <c r="AU15" i="1"/>
  <c r="AG15" i="1" s="1"/>
  <c r="BW17" i="10" a="1"/>
  <c r="BW17" i="10" s="1"/>
  <c r="S17" i="10" s="1"/>
  <c r="O13" i="10"/>
  <c r="BR13" i="10" s="1"/>
  <c r="BP43" i="1"/>
  <c r="BP58" i="1" s="1"/>
  <c r="BV73" i="3"/>
  <c r="AY55" i="4"/>
  <c r="BV59" i="1"/>
  <c r="BO58" i="1"/>
  <c r="BE43" i="1"/>
  <c r="AY56" i="4"/>
  <c r="Q28" i="5"/>
  <c r="Q25" i="5"/>
  <c r="F25" i="10"/>
  <c r="AZ41" i="10" s="1"/>
  <c r="F26" i="10"/>
  <c r="F41" i="10"/>
  <c r="Q26" i="5"/>
  <c r="R23" i="1"/>
  <c r="Q43" i="5"/>
  <c r="Q31" i="5"/>
  <c r="Q34" i="5"/>
  <c r="M15" i="10"/>
  <c r="F28" i="10"/>
  <c r="AT11" i="5"/>
  <c r="AF11" i="5" s="1"/>
  <c r="BV57" i="1"/>
  <c r="BV74" i="3"/>
  <c r="BV75" i="3"/>
  <c r="BV76" i="3"/>
  <c r="C26" i="1"/>
  <c r="O34" i="5"/>
  <c r="Q32" i="5" s="1"/>
  <c r="Q24" i="5"/>
  <c r="E28" i="5"/>
  <c r="CA26" i="5" s="1"/>
  <c r="C34" i="5" s="1"/>
  <c r="D34" i="5" s="1"/>
  <c r="L17" i="5"/>
  <c r="BM10" i="1"/>
  <c r="BL10" i="1" s="1"/>
  <c r="L11" i="1"/>
  <c r="N11" i="1" s="1"/>
  <c r="O25" i="1"/>
  <c r="R24" i="1" s="1"/>
  <c r="AY9" i="1"/>
  <c r="AY15" i="1"/>
  <c r="O9" i="1"/>
  <c r="O15" i="1" s="1"/>
  <c r="R15" i="1" s="1"/>
  <c r="N14" i="1"/>
  <c r="AY16" i="1"/>
  <c r="BE14" i="1"/>
  <c r="Z14" i="1" s="1"/>
  <c r="AN14" i="1" s="1"/>
  <c r="N16" i="1"/>
  <c r="BL16" i="1" s="1"/>
  <c r="BG14" i="1"/>
  <c r="AB14" i="1" s="1"/>
  <c r="AP14" i="1" s="1"/>
  <c r="BO27" i="1"/>
  <c r="F19" i="1"/>
  <c r="H19" i="1" s="1"/>
  <c r="BI14" i="1"/>
  <c r="AD14" i="1" s="1"/>
  <c r="AR14" i="1" s="1"/>
  <c r="BF14" i="1"/>
  <c r="AA14" i="1" s="1"/>
  <c r="AO14" i="1" s="1"/>
  <c r="BL27" i="1"/>
  <c r="BC14" i="1"/>
  <c r="X14" i="1" s="1"/>
  <c r="AL14" i="1" s="1"/>
  <c r="O14" i="1"/>
  <c r="R14" i="1" s="1"/>
  <c r="BM27" i="1"/>
  <c r="BK14" i="1"/>
  <c r="AF14" i="1" s="1"/>
  <c r="AT14" i="1" s="1"/>
  <c r="F21" i="1"/>
  <c r="BJ14" i="1"/>
  <c r="AE14" i="1" s="1"/>
  <c r="AS14" i="1" s="1"/>
  <c r="O16" i="1"/>
  <c r="F18" i="1"/>
  <c r="AI14" i="1"/>
  <c r="H20" i="1"/>
  <c r="AY39" i="1"/>
  <c r="BP57" i="1"/>
  <c r="F22" i="1"/>
  <c r="L12" i="1"/>
  <c r="O32" i="5"/>
  <c r="Q30" i="5" s="1"/>
  <c r="L13" i="5"/>
  <c r="L14" i="5" s="1"/>
  <c r="F29" i="5"/>
  <c r="H29" i="5" s="1"/>
  <c r="BL12" i="5"/>
  <c r="BL24" i="5" s="1"/>
  <c r="L9" i="5"/>
  <c r="F30" i="5"/>
  <c r="H30" i="5" s="1"/>
  <c r="L16" i="5"/>
  <c r="Q27" i="5"/>
  <c r="BL10" i="5"/>
  <c r="F31" i="5"/>
  <c r="AX35" i="5" s="1"/>
  <c r="N10" i="5"/>
  <c r="O22" i="5"/>
  <c r="BO39" i="5"/>
  <c r="BO50" i="5" s="1"/>
  <c r="N11" i="5"/>
  <c r="AX17" i="5"/>
  <c r="Q29" i="5"/>
  <c r="M9" i="5"/>
  <c r="N18" i="5"/>
  <c r="BK16" i="5" s="1"/>
  <c r="O18" i="5" s="1"/>
  <c r="M13" i="5"/>
  <c r="F28" i="5"/>
  <c r="F32" i="5"/>
  <c r="G28" i="5"/>
  <c r="M14" i="5"/>
  <c r="M15" i="5"/>
  <c r="BL22" i="5" l="1"/>
  <c r="AH9" i="4"/>
  <c r="AJ17" i="10"/>
  <c r="AV17" i="10" s="1"/>
  <c r="AH17" i="10" s="1"/>
  <c r="AW18" i="10"/>
  <c r="AI17" i="10" s="1"/>
  <c r="H28" i="10"/>
  <c r="AZ44" i="10"/>
  <c r="AZ42" i="10"/>
  <c r="H26" i="10"/>
  <c r="H30" i="10" s="1"/>
  <c r="BM14" i="4"/>
  <c r="AY14" i="4"/>
  <c r="AY17" i="4" s="1"/>
  <c r="AY18" i="4" s="1"/>
  <c r="H40" i="4" s="1"/>
  <c r="AY15" i="4"/>
  <c r="N14" i="4"/>
  <c r="AV12" i="3"/>
  <c r="AH11" i="3" s="1"/>
  <c r="AR11" i="3"/>
  <c r="BM20" i="3"/>
  <c r="BM31" i="3" s="1"/>
  <c r="BM42" i="3" s="1"/>
  <c r="AM10" i="4"/>
  <c r="AU10" i="4" s="1"/>
  <c r="AG10" i="4" s="1"/>
  <c r="AH10" i="4"/>
  <c r="AZ51" i="10"/>
  <c r="AZ55" i="10" s="1"/>
  <c r="H41" i="10"/>
  <c r="H45" i="10" s="1"/>
  <c r="AX18" i="10"/>
  <c r="BD25" i="4"/>
  <c r="BL38" i="4"/>
  <c r="BJ25" i="4"/>
  <c r="BN15" i="10"/>
  <c r="BM15" i="10" s="1"/>
  <c r="AZ15" i="10"/>
  <c r="AZ21" i="10" s="1"/>
  <c r="H32" i="10" s="1"/>
  <c r="O15" i="10"/>
  <c r="AZ46" i="10"/>
  <c r="BP11" i="10"/>
  <c r="BM28" i="10"/>
  <c r="BK11" i="10"/>
  <c r="AF11" i="10" s="1"/>
  <c r="BJ21" i="3"/>
  <c r="BD21" i="3"/>
  <c r="BA21" i="3"/>
  <c r="BH21" i="3"/>
  <c r="BL32" i="3"/>
  <c r="BL27" i="10"/>
  <c r="BL43" i="10" s="1"/>
  <c r="BL60" i="10" s="1"/>
  <c r="AG10" i="10"/>
  <c r="BL24" i="4"/>
  <c r="BK11" i="4"/>
  <c r="AF11" i="4" s="1"/>
  <c r="AT11" i="4" s="1"/>
  <c r="BE11" i="4"/>
  <c r="Z11" i="4" s="1"/>
  <c r="BL10" i="3"/>
  <c r="O10" i="3" s="1"/>
  <c r="R10" i="3" s="1"/>
  <c r="R13" i="3" s="1"/>
  <c r="R38" i="3" s="1"/>
  <c r="BE30" i="10"/>
  <c r="BP46" i="10"/>
  <c r="AH9" i="3"/>
  <c r="H47" i="10"/>
  <c r="H37" i="3"/>
  <c r="BR67" i="10"/>
  <c r="BE67" i="10"/>
  <c r="BN69" i="10"/>
  <c r="AN13" i="10"/>
  <c r="AI13" i="10"/>
  <c r="BE15" i="4"/>
  <c r="Z15" i="4" s="1"/>
  <c r="BK15" i="4"/>
  <c r="AF15" i="4" s="1"/>
  <c r="AT15" i="4" s="1"/>
  <c r="BO28" i="4"/>
  <c r="AK11" i="3"/>
  <c r="BR11" i="3"/>
  <c r="AW12" i="3"/>
  <c r="BL26" i="4"/>
  <c r="BJ13" i="4"/>
  <c r="AE13" i="4" s="1"/>
  <c r="AS13" i="4" s="1"/>
  <c r="AZ13" i="4"/>
  <c r="U13" i="4" s="1"/>
  <c r="BC13" i="4"/>
  <c r="X13" i="4" s="1"/>
  <c r="AL13" i="4" s="1"/>
  <c r="BF13" i="4"/>
  <c r="AA13" i="4" s="1"/>
  <c r="AO13" i="4" s="1"/>
  <c r="BI13" i="4"/>
  <c r="AD13" i="4" s="1"/>
  <c r="AR13" i="4" s="1"/>
  <c r="BQ11" i="3"/>
  <c r="AF9" i="4"/>
  <c r="BK22" i="4"/>
  <c r="BK35" i="4" s="1"/>
  <c r="BK48" i="4" s="1"/>
  <c r="BK43" i="1"/>
  <c r="AU11" i="3"/>
  <c r="AG11" i="3" s="1"/>
  <c r="BR30" i="10"/>
  <c r="BK13" i="10"/>
  <c r="AF13" i="10" s="1"/>
  <c r="BK58" i="1"/>
  <c r="BE58" i="1"/>
  <c r="BO12" i="3"/>
  <c r="BP12" i="3"/>
  <c r="BP22" i="3" s="1"/>
  <c r="BP33" i="3" s="1"/>
  <c r="BP44" i="3" s="1"/>
  <c r="BM26" i="4"/>
  <c r="BM39" i="4" s="1"/>
  <c r="BM52" i="4" s="1"/>
  <c r="O13" i="4"/>
  <c r="R13" i="4" s="1"/>
  <c r="P37" i="10"/>
  <c r="S37" i="10" s="1"/>
  <c r="S46" i="10" s="1"/>
  <c r="AH12" i="4"/>
  <c r="AM12" i="4"/>
  <c r="AU12" i="4" s="1"/>
  <c r="AG12" i="4" s="1"/>
  <c r="BJ23" i="4"/>
  <c r="BD23" i="4"/>
  <c r="BL36" i="4"/>
  <c r="Q21" i="5"/>
  <c r="Q23" i="5"/>
  <c r="O40" i="5"/>
  <c r="O43" i="5" s="1"/>
  <c r="Q92" i="5" s="1"/>
  <c r="AX15" i="5"/>
  <c r="BL15" i="5"/>
  <c r="M16" i="5"/>
  <c r="C38" i="5"/>
  <c r="BL12" i="1"/>
  <c r="BM12" i="1"/>
  <c r="BL23" i="1"/>
  <c r="BJ10" i="1"/>
  <c r="AE10" i="1" s="1"/>
  <c r="AS10" i="1" s="1"/>
  <c r="BD10" i="1"/>
  <c r="Y10" i="1" s="1"/>
  <c r="O10" i="1"/>
  <c r="R10" i="1" s="1"/>
  <c r="BM23" i="1"/>
  <c r="BM38" i="1" s="1"/>
  <c r="BM53" i="1" s="1"/>
  <c r="R9" i="1"/>
  <c r="AH9" i="1" s="1"/>
  <c r="BK9" i="1"/>
  <c r="BK22" i="1" s="1"/>
  <c r="AF9" i="1"/>
  <c r="AY38" i="1"/>
  <c r="AU14" i="1"/>
  <c r="AG14" i="1" s="1"/>
  <c r="BB27" i="1"/>
  <c r="BO42" i="1"/>
  <c r="BG27" i="1"/>
  <c r="BE27" i="1"/>
  <c r="BK27" i="1"/>
  <c r="AV15" i="1"/>
  <c r="AH14" i="1" s="1"/>
  <c r="O28" i="1"/>
  <c r="R27" i="1" s="1"/>
  <c r="BL42" i="1"/>
  <c r="BA27" i="1"/>
  <c r="BD27" i="1"/>
  <c r="BH27" i="1"/>
  <c r="AW15" i="1"/>
  <c r="H21" i="1"/>
  <c r="AY40" i="1"/>
  <c r="BM42" i="1"/>
  <c r="BJ27" i="1"/>
  <c r="AY37" i="1"/>
  <c r="H18" i="1"/>
  <c r="AY41" i="1"/>
  <c r="H22" i="1"/>
  <c r="AY12" i="1"/>
  <c r="N12" i="1"/>
  <c r="L13" i="1"/>
  <c r="O27" i="1"/>
  <c r="R26" i="1" s="1"/>
  <c r="AX34" i="5"/>
  <c r="BK10" i="5"/>
  <c r="O10" i="5" s="1"/>
  <c r="N14" i="5"/>
  <c r="BK12" i="5"/>
  <c r="O11" i="5" s="1"/>
  <c r="AX33" i="5"/>
  <c r="BL36" i="5"/>
  <c r="BL47" i="5"/>
  <c r="BL45" i="5"/>
  <c r="H31" i="5"/>
  <c r="BL34" i="5"/>
  <c r="H32" i="5"/>
  <c r="AX36" i="5"/>
  <c r="O37" i="5"/>
  <c r="Q35" i="5" s="1"/>
  <c r="H28" i="5"/>
  <c r="AX32" i="5"/>
  <c r="AX14" i="5"/>
  <c r="N15" i="5"/>
  <c r="N13" i="5"/>
  <c r="BL14" i="5"/>
  <c r="AX13" i="5"/>
  <c r="O35" i="5"/>
  <c r="Q33" i="5" s="1"/>
  <c r="O9" i="5"/>
  <c r="AX9" i="5"/>
  <c r="O38" i="5"/>
  <c r="Q36" i="5" s="1"/>
  <c r="Q10" i="5" l="1"/>
  <c r="BD15" i="10"/>
  <c r="Y15" i="10" s="1"/>
  <c r="AM15" i="10" s="1"/>
  <c r="BP15" i="10"/>
  <c r="BK15" i="10" s="1"/>
  <c r="AF15" i="10" s="1"/>
  <c r="AT15" i="10" s="1"/>
  <c r="BJ15" i="10"/>
  <c r="AE15" i="10" s="1"/>
  <c r="AS15" i="10" s="1"/>
  <c r="BG15" i="10"/>
  <c r="AB15" i="10" s="1"/>
  <c r="AP15" i="10" s="1"/>
  <c r="BM32" i="10"/>
  <c r="BA15" i="10"/>
  <c r="V15" i="10" s="1"/>
  <c r="BK12" i="3"/>
  <c r="AF12" i="3" s="1"/>
  <c r="AT12" i="3" s="1"/>
  <c r="BE12" i="3"/>
  <c r="Z12" i="3" s="1"/>
  <c r="BO22" i="3"/>
  <c r="BP28" i="10"/>
  <c r="BE11" i="10"/>
  <c r="Z11" i="10" s="1"/>
  <c r="AH13" i="4"/>
  <c r="AI13" i="4"/>
  <c r="AU13" i="4" s="1"/>
  <c r="AG13" i="4" s="1"/>
  <c r="BJ36" i="4"/>
  <c r="BL49" i="4"/>
  <c r="BD36" i="4"/>
  <c r="BJ26" i="4"/>
  <c r="BH26" i="4"/>
  <c r="BL39" i="4"/>
  <c r="BA26" i="4"/>
  <c r="BD26" i="4"/>
  <c r="BM44" i="10"/>
  <c r="BJ38" i="4"/>
  <c r="BL51" i="4"/>
  <c r="BD38" i="4"/>
  <c r="BP63" i="10"/>
  <c r="BE63" i="10" s="1"/>
  <c r="BE46" i="10"/>
  <c r="BD32" i="3"/>
  <c r="BL43" i="3"/>
  <c r="BJ32" i="3"/>
  <c r="AT13" i="10"/>
  <c r="AV13" i="10" s="1"/>
  <c r="AH13" i="10" s="1"/>
  <c r="P13" i="10"/>
  <c r="S13" i="10" s="1"/>
  <c r="BL20" i="3"/>
  <c r="BC10" i="3"/>
  <c r="X10" i="3" s="1"/>
  <c r="AL10" i="3" s="1"/>
  <c r="BJ10" i="3"/>
  <c r="AE10" i="3" s="1"/>
  <c r="AS10" i="3" s="1"/>
  <c r="AZ10" i="3"/>
  <c r="U10" i="3" s="1"/>
  <c r="BF10" i="3"/>
  <c r="AA10" i="3" s="1"/>
  <c r="AO10" i="3" s="1"/>
  <c r="BI10" i="3"/>
  <c r="AD10" i="3" s="1"/>
  <c r="AR10" i="3" s="1"/>
  <c r="BO14" i="4"/>
  <c r="BL14" i="4"/>
  <c r="BR46" i="10"/>
  <c r="BK30" i="10"/>
  <c r="BK28" i="4"/>
  <c r="BO41" i="4"/>
  <c r="BE28" i="4"/>
  <c r="AH11" i="4"/>
  <c r="AN11" i="4"/>
  <c r="AU11" i="4" s="1"/>
  <c r="AG11" i="4" s="1"/>
  <c r="BN32" i="10"/>
  <c r="BN48" i="10" s="1"/>
  <c r="BN65" i="10" s="1"/>
  <c r="P15" i="10"/>
  <c r="S15" i="10" s="1"/>
  <c r="AH15" i="4"/>
  <c r="AN15" i="4"/>
  <c r="AU15" i="4" s="1"/>
  <c r="AG15" i="4" s="1"/>
  <c r="BK24" i="4"/>
  <c r="BE24" i="4"/>
  <c r="BL37" i="4"/>
  <c r="AT11" i="10"/>
  <c r="BM27" i="4"/>
  <c r="BM40" i="4" s="1"/>
  <c r="BM53" i="4" s="1"/>
  <c r="O14" i="4"/>
  <c r="R14" i="4" s="1"/>
  <c r="R16" i="4" s="1"/>
  <c r="R41" i="4" s="1"/>
  <c r="Q39" i="5"/>
  <c r="H33" i="5"/>
  <c r="BK15" i="5"/>
  <c r="O15" i="5" s="1"/>
  <c r="BN15" i="5"/>
  <c r="BL27" i="5"/>
  <c r="BL39" i="5" s="1"/>
  <c r="BL50" i="5" s="1"/>
  <c r="BC12" i="5"/>
  <c r="X12" i="5" s="1"/>
  <c r="BK45" i="5"/>
  <c r="O41" i="5"/>
  <c r="AX16" i="5"/>
  <c r="AX18" i="5" s="1"/>
  <c r="O16" i="5"/>
  <c r="O17" i="5"/>
  <c r="BM25" i="1"/>
  <c r="BM40" i="1" s="1"/>
  <c r="BM55" i="1" s="1"/>
  <c r="O11" i="1"/>
  <c r="R12" i="1" s="1"/>
  <c r="R16" i="1" s="1"/>
  <c r="BJ23" i="1"/>
  <c r="BL38" i="1"/>
  <c r="BD23" i="1"/>
  <c r="AH10" i="1"/>
  <c r="AM10" i="1"/>
  <c r="AU10" i="1" s="1"/>
  <c r="AG10" i="1" s="1"/>
  <c r="BJ12" i="1"/>
  <c r="AE12" i="1" s="1"/>
  <c r="AS12" i="1" s="1"/>
  <c r="BL25" i="1"/>
  <c r="BD12" i="1"/>
  <c r="Y12" i="1" s="1"/>
  <c r="H23" i="1"/>
  <c r="BE42" i="1"/>
  <c r="BO57" i="1"/>
  <c r="BK42" i="1"/>
  <c r="R32" i="1"/>
  <c r="BD42" i="1"/>
  <c r="BL57" i="1"/>
  <c r="BD57" i="1" s="1"/>
  <c r="AY42" i="1"/>
  <c r="BM57" i="1"/>
  <c r="BJ42" i="1"/>
  <c r="BM13" i="1"/>
  <c r="AY13" i="1"/>
  <c r="AY18" i="1" s="1"/>
  <c r="N13" i="1"/>
  <c r="BK22" i="5"/>
  <c r="BK34" i="5"/>
  <c r="BC10" i="5"/>
  <c r="BC34" i="5" s="1"/>
  <c r="BI10" i="5"/>
  <c r="AD10" i="5" s="1"/>
  <c r="AR10" i="5" s="1"/>
  <c r="BK36" i="5"/>
  <c r="BK47" i="5"/>
  <c r="BK24" i="5"/>
  <c r="AX37" i="5"/>
  <c r="BI12" i="5"/>
  <c r="BI24" i="5" s="1"/>
  <c r="Q44" i="5"/>
  <c r="BK14" i="5"/>
  <c r="O13" i="5" s="1"/>
  <c r="BJ9" i="5"/>
  <c r="Q9" i="5"/>
  <c r="BL26" i="5"/>
  <c r="BL38" i="5" s="1"/>
  <c r="BL49" i="5" s="1"/>
  <c r="BC24" i="5" l="1"/>
  <c r="BJ39" i="4"/>
  <c r="BD39" i="4"/>
  <c r="BL52" i="4"/>
  <c r="AI11" i="10"/>
  <c r="AN11" i="10"/>
  <c r="AV11" i="10" s="1"/>
  <c r="AH11" i="10" s="1"/>
  <c r="AJ15" i="10"/>
  <c r="AV15" i="10" s="1"/>
  <c r="AH15" i="10" s="1"/>
  <c r="AI15" i="10"/>
  <c r="P11" i="10"/>
  <c r="S11" i="10" s="1"/>
  <c r="S19" i="10" s="1"/>
  <c r="S48" i="10" s="1"/>
  <c r="BK46" i="10"/>
  <c r="BR63" i="10"/>
  <c r="BK63" i="10" s="1"/>
  <c r="BL31" i="3"/>
  <c r="BA20" i="3"/>
  <c r="BD20" i="3"/>
  <c r="BJ20" i="3"/>
  <c r="BH20" i="3"/>
  <c r="BE28" i="10"/>
  <c r="BP44" i="10"/>
  <c r="BP32" i="10"/>
  <c r="BE32" i="10"/>
  <c r="BB32" i="10"/>
  <c r="BM48" i="10"/>
  <c r="BI32" i="10"/>
  <c r="BK41" i="4"/>
  <c r="BE41" i="4"/>
  <c r="BO54" i="4"/>
  <c r="BJ14" i="4"/>
  <c r="AE14" i="4" s="1"/>
  <c r="AS14" i="4" s="1"/>
  <c r="AZ14" i="4"/>
  <c r="U14" i="4" s="1"/>
  <c r="BC14" i="4"/>
  <c r="X14" i="4" s="1"/>
  <c r="AL14" i="4" s="1"/>
  <c r="BF14" i="4"/>
  <c r="AA14" i="4" s="1"/>
  <c r="AO14" i="4" s="1"/>
  <c r="BI14" i="4"/>
  <c r="AD14" i="4" s="1"/>
  <c r="AR14" i="4" s="1"/>
  <c r="BL27" i="4"/>
  <c r="BJ51" i="4"/>
  <c r="BD51" i="4"/>
  <c r="BL50" i="4"/>
  <c r="BE37" i="4"/>
  <c r="BK37" i="4"/>
  <c r="BO27" i="4"/>
  <c r="BB14" i="4"/>
  <c r="W14" i="4" s="1"/>
  <c r="BE14" i="4"/>
  <c r="Z14" i="4" s="1"/>
  <c r="AN14" i="4" s="1"/>
  <c r="BK14" i="4"/>
  <c r="AF14" i="4" s="1"/>
  <c r="AT14" i="4" s="1"/>
  <c r="BG14" i="4"/>
  <c r="AB14" i="4" s="1"/>
  <c r="AP14" i="4" s="1"/>
  <c r="BK28" i="10"/>
  <c r="BD49" i="4"/>
  <c r="BJ49" i="4"/>
  <c r="BO33" i="3"/>
  <c r="BK22" i="3"/>
  <c r="BE22" i="3"/>
  <c r="AI10" i="3"/>
  <c r="AU10" i="3" s="1"/>
  <c r="AG10" i="3" s="1"/>
  <c r="AH10" i="3"/>
  <c r="AH13" i="3" s="1"/>
  <c r="AH15" i="3" s="1"/>
  <c r="BJ43" i="3"/>
  <c r="BD43" i="3"/>
  <c r="BM61" i="10"/>
  <c r="AH12" i="3"/>
  <c r="AN12" i="3"/>
  <c r="AU12" i="3" s="1"/>
  <c r="AG12" i="3" s="1"/>
  <c r="BC36" i="5"/>
  <c r="BC47" i="5"/>
  <c r="BD15" i="5"/>
  <c r="Y15" i="5" s="1"/>
  <c r="AM15" i="5" s="1"/>
  <c r="BA15" i="5"/>
  <c r="V15" i="5" s="1"/>
  <c r="BF15" i="5"/>
  <c r="AA15" i="5" s="1"/>
  <c r="AO15" i="5" s="1"/>
  <c r="BJ15" i="5"/>
  <c r="AE15" i="5" s="1"/>
  <c r="AS15" i="5" s="1"/>
  <c r="BN27" i="5"/>
  <c r="BH15" i="5"/>
  <c r="AC15" i="5" s="1"/>
  <c r="AQ15" i="5" s="1"/>
  <c r="BE15" i="5"/>
  <c r="Z15" i="5" s="1"/>
  <c r="AN15" i="5" s="1"/>
  <c r="BK27" i="5"/>
  <c r="AY15" i="5"/>
  <c r="T15" i="5" s="1"/>
  <c r="BI15" i="5"/>
  <c r="AD15" i="5" s="1"/>
  <c r="AR15" i="5" s="1"/>
  <c r="BB15" i="5"/>
  <c r="W15" i="5" s="1"/>
  <c r="AK15" i="5" s="1"/>
  <c r="BC45" i="5"/>
  <c r="X10" i="5"/>
  <c r="AL10" i="5" s="1"/>
  <c r="AT10" i="5" s="1"/>
  <c r="AF10" i="5" s="1"/>
  <c r="BI22" i="5"/>
  <c r="AM12" i="1"/>
  <c r="AU12" i="1" s="1"/>
  <c r="AG12" i="1" s="1"/>
  <c r="AH12" i="1"/>
  <c r="AH16" i="1" s="1"/>
  <c r="AH18" i="1" s="1"/>
  <c r="BJ25" i="1"/>
  <c r="BD25" i="1"/>
  <c r="BL40" i="1"/>
  <c r="BJ38" i="1"/>
  <c r="BL53" i="1"/>
  <c r="BD38" i="1"/>
  <c r="R34" i="1"/>
  <c r="BJ57" i="1"/>
  <c r="BB57" i="1"/>
  <c r="BE57" i="1"/>
  <c r="BK57" i="1"/>
  <c r="BG57" i="1"/>
  <c r="H27" i="1"/>
  <c r="BM26" i="1"/>
  <c r="BM41" i="1" s="1"/>
  <c r="BM56" i="1" s="1"/>
  <c r="BL13" i="1"/>
  <c r="BI34" i="5"/>
  <c r="BC22" i="5"/>
  <c r="BI45" i="5"/>
  <c r="BI36" i="5"/>
  <c r="BI47" i="5"/>
  <c r="H43" i="5"/>
  <c r="O14" i="5"/>
  <c r="AD12" i="5"/>
  <c r="AR12" i="5" s="1"/>
  <c r="AG9" i="5"/>
  <c r="Q16" i="5"/>
  <c r="Q46" i="5" s="1"/>
  <c r="AL12" i="5"/>
  <c r="BJ21" i="5"/>
  <c r="AE9" i="5"/>
  <c r="BJ33" i="5"/>
  <c r="BJ44" i="5"/>
  <c r="BE14" i="5"/>
  <c r="Z14" i="5" s="1"/>
  <c r="AN14" i="5" s="1"/>
  <c r="BK26" i="5"/>
  <c r="BI14" i="5"/>
  <c r="AD14" i="5" s="1"/>
  <c r="AR14" i="5" s="1"/>
  <c r="BH14" i="5"/>
  <c r="AC14" i="5" s="1"/>
  <c r="AQ14" i="5" s="1"/>
  <c r="BB14" i="5"/>
  <c r="W14" i="5" s="1"/>
  <c r="AK14" i="5" s="1"/>
  <c r="AY14" i="5"/>
  <c r="T14" i="5" s="1"/>
  <c r="BK50" i="4" l="1"/>
  <c r="BE50" i="4"/>
  <c r="BK54" i="4"/>
  <c r="BE54" i="4"/>
  <c r="BE44" i="10"/>
  <c r="BP61" i="10"/>
  <c r="BE61" i="10" s="1"/>
  <c r="BD27" i="4"/>
  <c r="BA27" i="4"/>
  <c r="BL40" i="4"/>
  <c r="BJ27" i="4"/>
  <c r="BH27" i="4"/>
  <c r="BE33" i="3"/>
  <c r="BO44" i="3"/>
  <c r="BK33" i="3"/>
  <c r="BB27" i="4"/>
  <c r="BE27" i="4"/>
  <c r="BG27" i="4"/>
  <c r="BK27" i="4"/>
  <c r="BO40" i="4"/>
  <c r="BE48" i="10"/>
  <c r="BM65" i="10"/>
  <c r="BP48" i="10"/>
  <c r="BK48" i="10" s="1"/>
  <c r="BK32" i="10"/>
  <c r="AW15" i="4"/>
  <c r="AK14" i="4"/>
  <c r="BK44" i="10"/>
  <c r="AI19" i="10"/>
  <c r="AI21" i="10" s="1"/>
  <c r="AI14" i="4"/>
  <c r="AU14" i="4" s="1"/>
  <c r="AG14" i="4" s="1"/>
  <c r="AV15" i="4"/>
  <c r="AH14" i="4" s="1"/>
  <c r="AH16" i="4" s="1"/>
  <c r="AH18" i="4" s="1"/>
  <c r="BL42" i="3"/>
  <c r="BJ31" i="3"/>
  <c r="BD31" i="3"/>
  <c r="BJ52" i="4"/>
  <c r="BD52" i="4"/>
  <c r="AG10" i="5"/>
  <c r="AJ15" i="5"/>
  <c r="AV16" i="5"/>
  <c r="BC27" i="5"/>
  <c r="BG27" i="5"/>
  <c r="BI27" i="5"/>
  <c r="BK39" i="5"/>
  <c r="AZ27" i="5"/>
  <c r="AH15" i="5"/>
  <c r="AU16" i="5"/>
  <c r="AG15" i="5" s="1"/>
  <c r="BN39" i="5"/>
  <c r="BA27" i="5"/>
  <c r="BD27" i="5"/>
  <c r="BF27" i="5"/>
  <c r="BJ27" i="5"/>
  <c r="BD40" i="1"/>
  <c r="BL55" i="1"/>
  <c r="BJ40" i="1"/>
  <c r="BJ53" i="1"/>
  <c r="BD53" i="1"/>
  <c r="BF13" i="1"/>
  <c r="AA13" i="1" s="1"/>
  <c r="AO13" i="1" s="1"/>
  <c r="AZ13" i="1"/>
  <c r="U13" i="1" s="1"/>
  <c r="BL26" i="1"/>
  <c r="BJ13" i="1"/>
  <c r="AE13" i="1" s="1"/>
  <c r="AS13" i="1" s="1"/>
  <c r="BC13" i="1"/>
  <c r="X13" i="1" s="1"/>
  <c r="AL13" i="1" s="1"/>
  <c r="BI13" i="1"/>
  <c r="AD13" i="1" s="1"/>
  <c r="AR13" i="1" s="1"/>
  <c r="O12" i="1"/>
  <c r="O13" i="1"/>
  <c r="R13" i="1" s="1"/>
  <c r="AG12" i="5"/>
  <c r="AT12" i="5"/>
  <c r="AF12" i="5" s="1"/>
  <c r="AH14" i="5"/>
  <c r="AT14" i="5" s="1"/>
  <c r="AF14" i="5" s="1"/>
  <c r="AG14" i="5"/>
  <c r="BI26" i="5"/>
  <c r="BK38" i="5"/>
  <c r="BC26" i="5"/>
  <c r="AZ26" i="5"/>
  <c r="BG26" i="5"/>
  <c r="AG16" i="5" l="1"/>
  <c r="AG18" i="5" s="1"/>
  <c r="BP65" i="10"/>
  <c r="BK65" i="10" s="1"/>
  <c r="BE65" i="10"/>
  <c r="BE40" i="4"/>
  <c r="BK40" i="4"/>
  <c r="BO53" i="4"/>
  <c r="BK61" i="10"/>
  <c r="BE44" i="3"/>
  <c r="BK44" i="3"/>
  <c r="BD42" i="3"/>
  <c r="BJ42" i="3"/>
  <c r="BJ40" i="4"/>
  <c r="BL53" i="4"/>
  <c r="BD40" i="4"/>
  <c r="AT15" i="5"/>
  <c r="AF15" i="5" s="1"/>
  <c r="BN50" i="5"/>
  <c r="BJ39" i="5"/>
  <c r="BD39" i="5"/>
  <c r="BI39" i="5"/>
  <c r="BK50" i="5"/>
  <c r="BC39" i="5"/>
  <c r="BD55" i="1"/>
  <c r="BJ55" i="1"/>
  <c r="BL41" i="1"/>
  <c r="BH26" i="1"/>
  <c r="BD26" i="1"/>
  <c r="BJ26" i="1"/>
  <c r="BA26" i="1"/>
  <c r="AH13" i="1"/>
  <c r="AI13" i="1"/>
  <c r="AU13" i="1" s="1"/>
  <c r="AG13" i="1" s="1"/>
  <c r="BK49" i="5"/>
  <c r="BI38" i="5"/>
  <c r="BC38" i="5"/>
  <c r="BK53" i="4" l="1"/>
  <c r="BE53" i="4"/>
  <c r="BG53" i="4"/>
  <c r="BB53" i="4"/>
  <c r="BJ53" i="4"/>
  <c r="BD53" i="4"/>
  <c r="BI50" i="5"/>
  <c r="BC50" i="5"/>
  <c r="BJ50" i="5"/>
  <c r="BF50" i="5"/>
  <c r="BD50" i="5"/>
  <c r="BA50" i="5"/>
  <c r="BL56" i="1"/>
  <c r="BJ41" i="1"/>
  <c r="BD41" i="1"/>
  <c r="BI49" i="5"/>
  <c r="BC49" i="5"/>
  <c r="BD56" i="1" l="1"/>
  <c r="BJ5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Прун Алина Александровна</author>
  </authors>
  <commentList>
    <comment ref="BL14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 xr:uid="{00000000-0006-0000-0000-000002000000}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<sst xmlns="http://schemas.openxmlformats.org/spreadsheetml/2006/main" count="1564" uniqueCount="597">
  <si>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</si>
  <si>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</si>
  <si>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</si>
  <si>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</si>
  <si>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</si>
  <si>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</si>
  <si>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</si>
  <si>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</si>
  <si>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</si>
  <si>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</si>
  <si>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</si>
  <si>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</si>
  <si>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</si>
  <si>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</si>
  <si>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</si>
  <si>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</si>
  <si>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</si>
  <si>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</si>
  <si>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</si>
  <si>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</si>
  <si>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</si>
  <si>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</si>
  <si>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</si>
  <si>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</si>
  <si>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</si>
  <si>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</si>
  <si>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</si>
  <si>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</si>
  <si>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</si>
  <si>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</si>
  <si>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</si>
  <si>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</si>
  <si>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</si>
  <si>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</si>
  <si>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</si>
  <si>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</si>
  <si>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</si>
  <si>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</si>
  <si>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</si>
  <si>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</si>
  <si>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</si>
  <si>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</si>
  <si>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</si>
  <si>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</si>
  <si>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</si>
  <si>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</si>
  <si>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</si>
  <si>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</si>
  <si>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</si>
  <si>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</si>
  <si>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</si>
  <si>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</si>
  <si>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</si>
  <si>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</si>
  <si>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</si>
  <si>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</si>
  <si>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</si>
  <si>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</si>
  <si>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</si>
  <si>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</si>
  <si>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</si>
  <si>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</si>
  <si>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</si>
  <si>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</si>
  <si>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</si>
  <si>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</si>
  <si>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</si>
  <si>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</si>
  <si>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</si>
  <si>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</si>
  <si>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</si>
  <si>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</si>
  <si>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</si>
  <si>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</si>
  <si>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</si>
  <si>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</si>
  <si>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</si>
  <si>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</si>
  <si>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</si>
  <si>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</si>
  <si>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</si>
  <si>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</si>
  <si>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</si>
  <si>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</si>
  <si>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</si>
  <si>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</si>
  <si>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</si>
  <si>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</si>
  <si>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</si>
  <si>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</si>
  <si>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</si>
  <si>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</si>
  <si>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</si>
  <si>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</si>
  <si>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</si>
  <si>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</si>
  <si>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</si>
  <si>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</si>
  <si>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</si>
  <si>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</si>
  <si>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</si>
  <si>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</si>
  <si>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</si>
  <si>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</si>
  <si>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</si>
  <si>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</si>
  <si>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</si>
  <si>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</si>
  <si>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</si>
  <si>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</si>
  <si>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</si>
  <si>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</si>
  <si>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</si>
  <si>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</si>
  <si>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</si>
  <si>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</si>
  <si>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</si>
  <si>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</si>
  <si>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</si>
  <si>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</si>
  <si>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</si>
  <si>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</si>
  <si>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</si>
  <si>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</si>
  <si>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</si>
  <si>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</si>
  <si>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</si>
  <si>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</si>
  <si>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</si>
  <si>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</si>
  <si>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</si>
  <si>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</si>
  <si>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</si>
  <si>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</si>
  <si>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</si>
  <si>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</si>
  <si>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</si>
  <si>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</si>
  <si>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</si>
  <si>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</si>
  <si>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</si>
  <si>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</si>
  <si>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</si>
  <si>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</si>
  <si>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</si>
  <si>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</si>
  <si>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</si>
  <si>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</si>
  <si>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</si>
  <si>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</si>
  <si>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</si>
  <si>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</si>
  <si>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</si>
  <si>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</si>
  <si>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</si>
  <si>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</si>
  <si>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</si>
  <si>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</si>
  <si>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</si>
  <si>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</si>
  <si>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</si>
  <si>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</si>
  <si>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</si>
  <si>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</si>
  <si>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</si>
  <si>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</si>
  <si>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</si>
  <si>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</si>
  <si>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</si>
  <si>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</si>
  <si>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</si>
  <si>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</si>
  <si>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</si>
  <si>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</si>
  <si>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</si>
  <si>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</si>
  <si>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</si>
  <si>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</si>
  <si>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</si>
  <si>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</si>
  <si>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</si>
  <si>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</si>
  <si>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</si>
  <si>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</si>
  <si>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</si>
  <si>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</si>
  <si>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</si>
  <si>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</si>
  <si>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</si>
  <si>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</si>
  <si>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</si>
  <si>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</si>
  <si>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</si>
  <si>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</si>
  <si>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</si>
  <si>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</si>
  <si>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</si>
  <si>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</si>
  <si>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</si>
  <si>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</si>
  <si>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</si>
  <si>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</si>
  <si>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</si>
  <si>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</si>
  <si>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</si>
  <si>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</si>
  <si>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</si>
  <si>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</si>
  <si>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</si>
  <si>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</si>
  <si>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</si>
  <si>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</si>
  <si>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</si>
  <si>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</si>
  <si>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</si>
  <si>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Уголок заглушки направляющей 4ПДВ</t>
  </si>
  <si>
    <t>FH0010.CR000</t>
  </si>
  <si>
    <t>FH0030.VS000</t>
  </si>
  <si>
    <t>FH0050.BR000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</si>
  <si>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</si>
  <si>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</si>
  <si>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</si>
  <si>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</si>
  <si>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</si>
  <si>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</si>
  <si>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</si>
  <si>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</si>
  <si>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</si>
  <si>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</si>
  <si>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</si>
  <si>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</si>
  <si>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</si>
  <si>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</si>
  <si>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</si>
  <si>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</si>
  <si>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</si>
  <si>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</si>
  <si>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</si>
  <si>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</si>
  <si>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</si>
  <si>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</si>
  <si>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</si>
  <si>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</si>
  <si>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</si>
  <si>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</si>
  <si>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</si>
  <si>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</si>
  <si>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</si>
  <si>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</si>
  <si>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</si>
  <si>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</si>
  <si>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</si>
  <si>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</si>
  <si>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</si>
  <si>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</si>
  <si>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</si>
  <si>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</si>
  <si>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</si>
  <si>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</si>
  <si>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</si>
  <si>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</si>
  <si>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</si>
  <si>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</si>
  <si>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</si>
  <si>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</si>
  <si>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</si>
  <si>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</si>
  <si>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</si>
  <si>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</si>
  <si>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</si>
  <si>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</si>
  <si>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</si>
  <si>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</si>
  <si>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</si>
  <si>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</si>
  <si>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</si>
  <si>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</si>
  <si>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</si>
  <si>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</si>
  <si>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</si>
  <si>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</si>
  <si>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</si>
  <si>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</si>
  <si>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</si>
  <si>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</si>
  <si>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</si>
  <si>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</si>
  <si>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</si>
  <si>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</si>
  <si>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</si>
  <si>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</si>
  <si>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</si>
  <si>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</si>
  <si>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</si>
  <si>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</si>
  <si>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</si>
  <si>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</si>
  <si>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</si>
  <si>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</si>
  <si>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</si>
  <si>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</si>
  <si>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</si>
  <si>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</si>
  <si>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</si>
  <si>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</si>
  <si>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</si>
  <si>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</si>
  <si>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</si>
  <si>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</si>
  <si>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</si>
  <si>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</si>
  <si>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</si>
  <si>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</si>
  <si>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</si>
  <si>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</si>
  <si>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</si>
  <si>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</si>
  <si>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</si>
  <si>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</si>
  <si>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</si>
  <si>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</si>
  <si>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</si>
  <si>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</si>
  <si>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</si>
  <si>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</si>
  <si>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</si>
  <si>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</si>
  <si>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</si>
  <si>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</si>
  <si>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</si>
  <si>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</si>
  <si>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</si>
  <si>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</si>
  <si>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</si>
  <si>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</si>
  <si>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</si>
  <si>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</si>
  <si>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</si>
  <si>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</si>
  <si>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</si>
  <si>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</si>
  <si>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</si>
  <si>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</si>
  <si>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</si>
  <si>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</si>
  <si>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</si>
  <si>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</si>
  <si>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</si>
  <si>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</si>
  <si>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</si>
  <si>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</si>
  <si>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</si>
  <si>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</si>
  <si>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</si>
  <si>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</si>
  <si>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</si>
  <si>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</si>
  <si>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</si>
  <si>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</si>
  <si>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</si>
  <si>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</si>
  <si>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</si>
  <si>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</si>
  <si>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</si>
  <si>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</si>
  <si>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</si>
  <si>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</si>
  <si>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</si>
  <si>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</si>
  <si>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</si>
  <si>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</si>
  <si>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</si>
  <si>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</si>
  <si>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</si>
  <si>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</si>
  <si>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</si>
  <si>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</si>
  <si>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</si>
  <si>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</si>
  <si>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</si>
  <si>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</si>
  <si>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</si>
  <si>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</si>
  <si>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</si>
  <si>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</si>
  <si>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</si>
  <si>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</si>
  <si>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</si>
  <si>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</si>
  <si>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</si>
  <si>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</si>
  <si>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</si>
  <si>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</si>
  <si>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</si>
  <si>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</si>
  <si>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</si>
  <si>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</si>
  <si>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</si>
  <si>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</si>
  <si>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</si>
  <si>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</si>
  <si>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</si>
  <si>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</si>
  <si>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</si>
  <si>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</si>
  <si>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</si>
  <si>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</si>
  <si>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</si>
  <si>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</si>
  <si>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</si>
  <si>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</si>
  <si>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</si>
  <si>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</si>
  <si>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</si>
  <si>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</si>
  <si>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</si>
  <si>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</si>
  <si>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</si>
  <si>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</si>
  <si>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</si>
  <si>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</si>
  <si>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</si>
  <si>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</si>
  <si>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</si>
  <si>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</si>
  <si>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</si>
  <si>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</si>
  <si>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</si>
  <si>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</si>
  <si>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</si>
  <si>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</si>
  <si>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</si>
  <si>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</si>
  <si>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</si>
  <si>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</si>
  <si>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</si>
  <si>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</si>
  <si>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</si>
  <si>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</si>
  <si>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</si>
  <si>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</si>
  <si>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</si>
  <si>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</si>
  <si>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</si>
  <si>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</si>
  <si>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</si>
  <si>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</si>
  <si>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</si>
  <si>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</si>
  <si>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</si>
  <si>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</si>
  <si>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</si>
  <si>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</si>
  <si>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</si>
  <si>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</si>
  <si>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</si>
  <si>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</si>
  <si>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</si>
  <si>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</si>
  <si>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</si>
  <si>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</si>
  <si>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</si>
  <si>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</si>
  <si>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</si>
  <si>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</si>
  <si>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</si>
  <si>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</si>
  <si>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</si>
  <si>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</si>
  <si>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</si>
  <si>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</si>
  <si>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</si>
  <si>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</si>
  <si>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</si>
  <si>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</si>
  <si>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</si>
  <si>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</si>
  <si>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</si>
  <si>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</si>
  <si>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</si>
  <si>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</si>
  <si>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</si>
  <si>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</si>
  <si>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</si>
  <si>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</si>
  <si>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</si>
  <si>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</si>
  <si>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</si>
  <si>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</si>
  <si>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</si>
  <si>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</si>
  <si>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</si>
  <si>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</si>
  <si>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</si>
  <si>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</si>
  <si>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</si>
  <si>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</si>
  <si>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</si>
  <si>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</si>
  <si>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</si>
  <si>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</si>
  <si>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</si>
  <si>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</si>
  <si>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</si>
  <si>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</si>
  <si>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</si>
  <si>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</si>
  <si>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</si>
  <si>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</si>
  <si>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</si>
  <si>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</si>
  <si>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</si>
  <si>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</si>
  <si>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</si>
  <si>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</si>
  <si>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</si>
  <si>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</si>
  <si>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</si>
  <si>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</si>
  <si>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</si>
  <si>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</si>
  <si>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</si>
  <si>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</si>
  <si>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</si>
  <si>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</si>
  <si>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</si>
  <si>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</si>
  <si>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последовательное открывание (двери в проеме, последняя дверь активная)</t>
  </si>
  <si>
    <t>накладка стопора</t>
  </si>
  <si>
    <t>Накладка стопора</t>
  </si>
  <si>
    <t>FA0821.AP500.SLMAN.CJ</t>
  </si>
  <si>
    <t>FA0821.AP500.BKSPC.CJ</t>
  </si>
  <si>
    <t>Горизонтальный профиль</t>
  </si>
  <si>
    <t>Накладка декоративная направляющей</t>
  </si>
  <si>
    <t>OP0738.VP540</t>
  </si>
  <si>
    <t>OP0847.VP540</t>
  </si>
  <si>
    <t>OP0846.VP540</t>
  </si>
  <si>
    <t>OP0788.VP540</t>
  </si>
  <si>
    <t>Горизонтальный нижний профиль</t>
  </si>
  <si>
    <t>OP0787.VP540</t>
  </si>
  <si>
    <t>Горизонтальный разделительный  профиль</t>
  </si>
  <si>
    <t>OP0789.VP540</t>
  </si>
  <si>
    <t>Накладка декоративная профиля</t>
  </si>
  <si>
    <t>OP0739.VP540</t>
  </si>
  <si>
    <t>Накладной разделительный профиль</t>
  </si>
  <si>
    <t>OP0790.VP540</t>
  </si>
  <si>
    <t>Количество накладного горизонтального профиля  для одной двери</t>
  </si>
  <si>
    <t>Буфер двери</t>
  </si>
  <si>
    <t>последовательное открывание (двери в проеме, последняя дверь стационарная)</t>
  </si>
  <si>
    <t>четырехдверная в проем (две синхро, две стационарные)</t>
  </si>
  <si>
    <t>четырехдверная в проем (две синхро, две активные)</t>
  </si>
  <si>
    <t>Ролик верхний</t>
  </si>
  <si>
    <t>Ролик нижний</t>
  </si>
  <si>
    <t>OP0006.VP000</t>
  </si>
  <si>
    <t>OP0002.VP000</t>
  </si>
  <si>
    <t>OP0009.VP000</t>
  </si>
  <si>
    <t>Крепления для верхних роликов</t>
  </si>
  <si>
    <t>OP0005.VR000</t>
  </si>
  <si>
    <t>OP0012.VR000</t>
  </si>
  <si>
    <t>Механизм последовательного открывания</t>
  </si>
  <si>
    <t>OP0011.VR000</t>
  </si>
  <si>
    <t>Фиксатор ремня последовательной системы</t>
  </si>
  <si>
    <t>OP0010.VR000</t>
  </si>
  <si>
    <t>Ролик для последовательного открывания</t>
  </si>
  <si>
    <t>OP0003.VR000</t>
  </si>
  <si>
    <t>OP0008.VR000</t>
  </si>
  <si>
    <t>OP0004.VP000</t>
  </si>
  <si>
    <t>Угол заглушки направляющей</t>
  </si>
  <si>
    <t>OP0007.VP000</t>
  </si>
  <si>
    <t>OP0020.VP000</t>
  </si>
  <si>
    <t>Комплект торцевых элементов</t>
  </si>
  <si>
    <t>OP0001.VR000</t>
  </si>
  <si>
    <t>Уплотнитель П-образный 4 мм</t>
  </si>
  <si>
    <t>AV0064.VM100</t>
  </si>
  <si>
    <t>Уплотнитель П-образный 4 мм, низкий</t>
  </si>
  <si>
    <t>Длина хлыста</t>
  </si>
  <si>
    <t>Декоративка</t>
  </si>
  <si>
    <t>Кронштейны стационарной перегородки</t>
  </si>
  <si>
    <t>OP0013.VR000</t>
  </si>
  <si>
    <t>Механизм последовательного открывания**</t>
  </si>
  <si>
    <t>** Для вариантов с последовательным открыванием рекомендуем всегда использовать механизм последовательного открывания</t>
  </si>
  <si>
    <t>OP0015.VP000</t>
  </si>
  <si>
    <t>Комплект зажимов ремня</t>
  </si>
  <si>
    <t>Шлегель бесклеевой в паз вертикального профиля</t>
  </si>
  <si>
    <t>AA0056.VM150</t>
  </si>
  <si>
    <t>Накладка декоративная профиля с пазом</t>
  </si>
  <si>
    <t>на кронштейнах</t>
  </si>
  <si>
    <t>OP0856.VP540</t>
  </si>
  <si>
    <t>Профиль п-образный</t>
  </si>
  <si>
    <t>с профилем п-образным</t>
  </si>
  <si>
    <t>OP0857.VP540</t>
  </si>
  <si>
    <t>трехдверная, в проем</t>
  </si>
  <si>
    <t>последовательное открывание (двери в проеме, без фиксации к полу)</t>
  </si>
  <si>
    <t>OP0016.VR000</t>
  </si>
  <si>
    <t>Комплект нижних роликов</t>
  </si>
  <si>
    <t>Саморез потайной с буром</t>
  </si>
  <si>
    <t>OP0440.AP000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</si>
</sst>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_₽_-;\-* #,##0.00\ _₽_-;_-* &quot;-&quot;??\ _₽_-;_-@_-"/>
    <numFmt numFmtId="165" formatCode="#,##0&quot; мм.&quot;"/>
    <numFmt numFmtId="166" formatCode="#,##0&quot; шт.&quot;"/>
    <numFmt numFmtId="167" formatCode="#,##0.00&quot;р.&quot;"/>
    <numFmt numFmtId="168" formatCode="#,##0.0&quot; мм.&quot;"/>
    <numFmt numFmtId="169" formatCode="#,##0&quot; комп.&quot;"/>
    <numFmt numFmtId="170" formatCode="#,##0.00\ &quot;р.&quot;"/>
    <numFmt numFmtId="171" formatCode="0.0"/>
    <numFmt numFmtId="172" formatCode="#,##0.00&quot; шт.&quot;"/>
    <numFmt numFmtId="173" formatCode="#,##0&quot; мм&quot;"/>
    <numFmt numFmtId="174" formatCode="#,##0&quot; м.&quot;"/>
    <numFmt numFmtId="175" formatCode="_-* #,##0.00\ _р_._-;\-* #,##0.00\ _р_._-;_-* &quot;-&quot;??\ _р_._-;_-@_-"/>
    <numFmt numFmtId="176" formatCode="_-* #,##0.00&quot;р.&quot;_-;\-* #,##0.00&quot;р.&quot;_-;_-* &quot;-&quot;??&quot;р.&quot;_-;_-@_-"/>
    <numFmt numFmtId="177" formatCode="_-* #,##0.00_р_._-;\-* #,##0.00_р_._-;_-* &quot;-&quot;??_р_._-;_-@_-"/>
    <numFmt numFmtId="178" formatCode="_(&quot;$&quot;* #,##0.00_);_(&quot;$&quot;* \(#,##0.00\);_(&quot;$&quot;* &quot;-&quot;??_);_(@_)"/>
    <numFmt numFmtId="179" formatCode="0.00&quot; руб.&quot;"/>
    <numFmt numFmtId="180" formatCode="#,##0.00&quot; руб.&quot;"/>
    <numFmt numFmtId="181" formatCode="0.000"/>
    <numFmt numFmtId="182" formatCode="0&quot; кг.&quot;"/>
    <numFmt numFmtId="183" formatCode="#,##0&quot; А&quot;"/>
    <numFmt numFmtId="184" formatCode="#,##0&quot; м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21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30" fillId="0" borderId="0"/>
    <xf numFmtId="0" fontId="5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574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3" fontId="25" fillId="7" borderId="1" xfId="0" applyNumberFormat="1" applyFont="1" applyFill="1" applyBorder="1" applyAlignment="1">
      <alignment horizontal="center" vertical="center"/>
    </xf>
    <xf numFmtId="173" fontId="25" fillId="6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0" fontId="24" fillId="0" borderId="2" xfId="0" applyFont="1" applyBorder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12" fillId="0" borderId="0" xfId="0" applyFo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9" fontId="13" fillId="0" borderId="0" xfId="3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2" fontId="12" fillId="0" borderId="0" xfId="0" applyNumberFormat="1" applyFont="1"/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3" fillId="0" borderId="0" xfId="0" applyFont="1"/>
    <xf numFmtId="0" fontId="12" fillId="0" borderId="1" xfId="0" applyFont="1" applyBorder="1" applyAlignment="1">
      <alignment vertical="center" wrapText="1"/>
    </xf>
    <xf numFmtId="0" fontId="0" fillId="0" borderId="1" xfId="0" applyBorder="1"/>
    <xf numFmtId="170" fontId="1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9" fillId="0" borderId="5" xfId="0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1" fillId="2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25" fillId="0" borderId="11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13" xfId="0" applyFont="1" applyBorder="1" applyAlignment="1">
      <alignment horizontal="right"/>
    </xf>
    <xf numFmtId="166" fontId="25" fillId="2" borderId="21" xfId="0" applyNumberFormat="1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5" fillId="0" borderId="1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173" fontId="25" fillId="0" borderId="1" xfId="0" applyNumberFormat="1" applyFont="1" applyBorder="1" applyAlignment="1">
      <alignment horizontal="center" vertical="center"/>
    </xf>
    <xf numFmtId="166" fontId="25" fillId="0" borderId="1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170" fontId="0" fillId="0" borderId="0" xfId="0" applyNumberFormat="1" applyAlignment="1">
      <alignment vertical="center"/>
    </xf>
    <xf numFmtId="0" fontId="7" fillId="0" borderId="2" xfId="0" applyFont="1" applyBorder="1" applyAlignment="1">
      <alignment vertical="center"/>
    </xf>
    <xf numFmtId="170" fontId="20" fillId="0" borderId="21" xfId="0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13" xfId="0" applyFont="1" applyBorder="1"/>
    <xf numFmtId="0" fontId="25" fillId="0" borderId="0" xfId="0" applyFont="1"/>
    <xf numFmtId="170" fontId="20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25" fillId="0" borderId="14" xfId="0" applyFont="1" applyBorder="1"/>
    <xf numFmtId="0" fontId="25" fillId="0" borderId="9" xfId="0" applyFont="1" applyBorder="1"/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67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1" fillId="2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7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70" fontId="1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1" fillId="0" borderId="13" xfId="0" applyFont="1" applyBorder="1" applyAlignment="1">
      <alignment horizontal="center" vertical="center"/>
    </xf>
    <xf numFmtId="168" fontId="0" fillId="0" borderId="5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9" fontId="13" fillId="6" borderId="1" xfId="3" applyFont="1" applyFill="1" applyBorder="1" applyAlignment="1" applyProtection="1">
      <alignment horizontal="center" vertical="center" wrapText="1"/>
      <protection locked="0"/>
    </xf>
    <xf numFmtId="170" fontId="21" fillId="0" borderId="1" xfId="0" applyNumberFormat="1" applyFont="1" applyBorder="1" applyAlignment="1">
      <alignment horizontal="center" vertical="center"/>
    </xf>
    <xf numFmtId="170" fontId="12" fillId="6" borderId="1" xfId="0" applyNumberFormat="1" applyFont="1" applyFill="1" applyBorder="1" applyAlignment="1" applyProtection="1">
      <alignment horizontal="center" vertical="center"/>
      <protection locked="0"/>
    </xf>
    <xf numFmtId="165" fontId="21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65" fontId="24" fillId="0" borderId="1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167" fontId="20" fillId="0" borderId="34" xfId="0" applyNumberFormat="1" applyFont="1" applyBorder="1" applyAlignment="1">
      <alignment horizontal="right" vertical="center"/>
    </xf>
    <xf numFmtId="166" fontId="24" fillId="0" borderId="2" xfId="0" applyNumberFormat="1" applyFont="1" applyBorder="1" applyAlignment="1">
      <alignment vertical="center"/>
    </xf>
    <xf numFmtId="170" fontId="3" fillId="0" borderId="2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170" fontId="19" fillId="0" borderId="21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4" fillId="0" borderId="21" xfId="0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21" xfId="0" applyNumberFormat="1" applyBorder="1" applyAlignment="1">
      <alignment vertical="center"/>
    </xf>
    <xf numFmtId="182" fontId="25" fillId="0" borderId="21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4" fillId="0" borderId="0" xfId="0" applyFont="1" applyAlignment="1">
      <alignment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70" fontId="14" fillId="0" borderId="1" xfId="0" applyNumberFormat="1" applyFont="1" applyBorder="1" applyAlignment="1">
      <alignment horizontal="center" vertical="center"/>
    </xf>
    <xf numFmtId="170" fontId="12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170" fontId="28" fillId="4" borderId="1" xfId="3" applyNumberFormat="1" applyFont="1" applyFill="1" applyBorder="1" applyAlignment="1" applyProtection="1">
      <alignment horizontal="center" vertical="center" wrapText="1"/>
    </xf>
    <xf numFmtId="170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5" fontId="21" fillId="2" borderId="33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4" fontId="0" fillId="0" borderId="31" xfId="0" applyNumberForma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9" borderId="15" xfId="0" applyFont="1" applyFill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" fillId="9" borderId="16" xfId="0" applyFont="1" applyFill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7" fillId="0" borderId="0" xfId="0" applyFont="1" applyAlignment="1">
      <alignment vertical="center" wrapText="1"/>
    </xf>
    <xf numFmtId="0" fontId="25" fillId="0" borderId="13" xfId="0" applyFont="1" applyBorder="1" applyAlignment="1">
      <alignment horizontal="right" vertical="center"/>
    </xf>
    <xf numFmtId="0" fontId="32" fillId="2" borderId="1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4" fontId="13" fillId="3" borderId="1" xfId="0" applyNumberFormat="1" applyFont="1" applyFill="1" applyBorder="1" applyAlignment="1">
      <alignment horizontal="center" vertical="center"/>
    </xf>
    <xf numFmtId="170" fontId="12" fillId="0" borderId="1" xfId="0" applyNumberFormat="1" applyFont="1" applyBorder="1" applyAlignment="1">
      <alignment horizontal="center" vertical="center" wrapText="1"/>
    </xf>
    <xf numFmtId="180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0" fillId="8" borderId="1" xfId="0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70" fontId="12" fillId="0" borderId="1" xfId="6" applyNumberFormat="1" applyBorder="1" applyAlignment="1">
      <alignment vertical="center"/>
    </xf>
    <xf numFmtId="179" fontId="0" fillId="8" borderId="1" xfId="0" applyNumberFormat="1" applyFill="1" applyBorder="1" applyAlignment="1">
      <alignment horizontal="right" vertical="top" wrapText="1"/>
    </xf>
    <xf numFmtId="0" fontId="17" fillId="3" borderId="1" xfId="0" applyFont="1" applyFill="1" applyBorder="1" applyAlignment="1">
      <alignment vertical="center"/>
    </xf>
    <xf numFmtId="166" fontId="0" fillId="0" borderId="1" xfId="0" applyNumberFormat="1" applyBorder="1" applyAlignment="1">
      <alignment horizontal="center" vertical="center"/>
    </xf>
    <xf numFmtId="170" fontId="0" fillId="0" borderId="6" xfId="0" applyNumberFormat="1" applyBorder="1" applyAlignment="1">
      <alignment horizontal="center" vertical="center"/>
    </xf>
    <xf numFmtId="169" fontId="24" fillId="0" borderId="6" xfId="1" applyNumberFormat="1" applyFont="1" applyBorder="1" applyAlignment="1">
      <alignment horizontal="center" vertical="center"/>
    </xf>
    <xf numFmtId="166" fontId="24" fillId="0" borderId="6" xfId="0" applyNumberFormat="1" applyFont="1" applyBorder="1" applyAlignment="1">
      <alignment horizontal="center" vertical="center"/>
    </xf>
    <xf numFmtId="166" fontId="24" fillId="0" borderId="6" xfId="1" applyNumberFormat="1" applyFont="1" applyBorder="1" applyAlignment="1">
      <alignment horizontal="center" vertical="center"/>
    </xf>
    <xf numFmtId="174" fontId="24" fillId="0" borderId="6" xfId="0" applyNumberFormat="1" applyFont="1" applyBorder="1" applyAlignment="1">
      <alignment horizontal="center" vertical="center"/>
    </xf>
    <xf numFmtId="174" fontId="24" fillId="0" borderId="6" xfId="1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170" fontId="21" fillId="0" borderId="34" xfId="0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170" fontId="24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169" fontId="24" fillId="0" borderId="0" xfId="1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24" fillId="0" borderId="0" xfId="1" applyNumberFormat="1" applyFont="1" applyAlignment="1">
      <alignment horizontal="center" vertical="center"/>
    </xf>
    <xf numFmtId="174" fontId="24" fillId="0" borderId="0" xfId="0" applyNumberFormat="1" applyFont="1" applyAlignment="1">
      <alignment horizontal="center" vertical="center"/>
    </xf>
    <xf numFmtId="174" fontId="24" fillId="0" borderId="0" xfId="1" applyNumberFormat="1" applyFont="1" applyAlignment="1">
      <alignment horizontal="center" vertical="center"/>
    </xf>
    <xf numFmtId="170" fontId="20" fillId="0" borderId="0" xfId="0" applyNumberFormat="1" applyFont="1" applyAlignment="1">
      <alignment horizontal="right" vertical="center"/>
    </xf>
    <xf numFmtId="170" fontId="0" fillId="0" borderId="0" xfId="0" applyNumberForma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0" fontId="9" fillId="0" borderId="40" xfId="0" applyFont="1" applyBorder="1" applyAlignment="1">
      <alignment horizontal="left" vertical="center"/>
    </xf>
    <xf numFmtId="0" fontId="21" fillId="2" borderId="41" xfId="0" applyFont="1" applyFill="1" applyBorder="1" applyAlignment="1">
      <alignment horizontal="center" vertical="center"/>
    </xf>
    <xf numFmtId="170" fontId="0" fillId="0" borderId="41" xfId="0" applyNumberFormat="1" applyBorder="1" applyAlignment="1">
      <alignment horizontal="center" vertical="center"/>
    </xf>
    <xf numFmtId="0" fontId="21" fillId="2" borderId="40" xfId="0" applyFont="1" applyFill="1" applyBorder="1" applyAlignment="1">
      <alignment horizontal="center" vertical="center"/>
    </xf>
    <xf numFmtId="170" fontId="24" fillId="0" borderId="41" xfId="1" applyNumberFormat="1" applyFont="1" applyBorder="1" applyAlignment="1">
      <alignment horizontal="center" vertical="center"/>
    </xf>
    <xf numFmtId="167" fontId="3" fillId="0" borderId="21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72" fontId="21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vertical="center"/>
    </xf>
    <xf numFmtId="170" fontId="24" fillId="0" borderId="0" xfId="0" applyNumberFormat="1" applyFont="1" applyAlignment="1">
      <alignment horizontal="center" vertical="center"/>
    </xf>
    <xf numFmtId="170" fontId="21" fillId="0" borderId="0" xfId="0" applyNumberFormat="1" applyFont="1" applyAlignment="1">
      <alignment horizontal="center" vertical="center"/>
    </xf>
    <xf numFmtId="166" fontId="21" fillId="0" borderId="33" xfId="0" applyNumberFormat="1" applyFont="1" applyBorder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70" fontId="3" fillId="0" borderId="23" xfId="0" applyNumberFormat="1" applyFont="1" applyBorder="1" applyAlignment="1">
      <alignment horizontal="center" vertical="center"/>
    </xf>
    <xf numFmtId="169" fontId="24" fillId="0" borderId="6" xfId="0" applyNumberFormat="1" applyFont="1" applyBorder="1" applyAlignment="1">
      <alignment horizontal="center" vertical="center"/>
    </xf>
    <xf numFmtId="170" fontId="21" fillId="0" borderId="42" xfId="0" applyNumberFormat="1" applyFont="1" applyBorder="1" applyAlignment="1">
      <alignment horizontal="center" vertical="center"/>
    </xf>
    <xf numFmtId="170" fontId="21" fillId="0" borderId="41" xfId="0" applyNumberFormat="1" applyFont="1" applyBorder="1" applyAlignment="1">
      <alignment horizontal="center" vertical="center"/>
    </xf>
    <xf numFmtId="170" fontId="24" fillId="0" borderId="41" xfId="0" applyNumberFormat="1" applyFont="1" applyBorder="1" applyAlignment="1">
      <alignment horizontal="center" vertical="center"/>
    </xf>
    <xf numFmtId="170" fontId="19" fillId="0" borderId="2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4" fontId="0" fillId="0" borderId="32" xfId="0" applyNumberFormat="1" applyBorder="1" applyAlignment="1">
      <alignment vertical="center"/>
    </xf>
    <xf numFmtId="165" fontId="24" fillId="0" borderId="6" xfId="0" applyNumberFormat="1" applyFont="1" applyBorder="1" applyAlignment="1">
      <alignment vertical="center"/>
    </xf>
    <xf numFmtId="165" fontId="24" fillId="0" borderId="12" xfId="0" applyNumberFormat="1" applyFont="1" applyBorder="1" applyAlignment="1">
      <alignment vertical="center"/>
    </xf>
    <xf numFmtId="0" fontId="35" fillId="0" borderId="33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27" xfId="0" applyFont="1" applyBorder="1" applyAlignment="1">
      <alignment horizontal="right" vertical="center"/>
    </xf>
    <xf numFmtId="165" fontId="24" fillId="0" borderId="0" xfId="0" applyNumberFormat="1" applyFont="1" applyAlignment="1">
      <alignment horizontal="center" vertical="center"/>
    </xf>
    <xf numFmtId="165" fontId="24" fillId="0" borderId="6" xfId="0" applyNumberFormat="1" applyFont="1" applyBorder="1" applyAlignment="1">
      <alignment horizontal="center" vertical="center"/>
    </xf>
    <xf numFmtId="170" fontId="24" fillId="0" borderId="23" xfId="1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9" fillId="0" borderId="37" xfId="0" applyFont="1" applyBorder="1" applyAlignment="1">
      <alignment vertical="center"/>
    </xf>
    <xf numFmtId="170" fontId="24" fillId="0" borderId="45" xfId="1" applyNumberFormat="1" applyFont="1" applyBorder="1" applyAlignment="1">
      <alignment horizontal="center" vertical="center"/>
    </xf>
    <xf numFmtId="170" fontId="24" fillId="0" borderId="0" xfId="1" applyNumberFormat="1" applyFont="1" applyAlignment="1">
      <alignment horizontal="left" vertical="center"/>
    </xf>
    <xf numFmtId="170" fontId="24" fillId="0" borderId="0" xfId="0" applyNumberFormat="1" applyFont="1" applyAlignment="1">
      <alignment horizontal="left" vertical="center"/>
    </xf>
    <xf numFmtId="170" fontId="21" fillId="0" borderId="0" xfId="0" applyNumberFormat="1" applyFont="1" applyAlignment="1">
      <alignment horizontal="left" vertical="center"/>
    </xf>
    <xf numFmtId="170" fontId="19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166" fontId="4" fillId="0" borderId="1" xfId="0" applyNumberFormat="1" applyFont="1" applyBorder="1" applyAlignment="1">
      <alignment vertical="center"/>
    </xf>
    <xf numFmtId="172" fontId="4" fillId="0" borderId="1" xfId="0" applyNumberFormat="1" applyFont="1" applyBorder="1" applyAlignment="1">
      <alignment vertical="center"/>
    </xf>
    <xf numFmtId="0" fontId="27" fillId="0" borderId="17" xfId="0" applyFont="1" applyBorder="1" applyAlignment="1">
      <alignment horizontal="left" vertical="center"/>
    </xf>
    <xf numFmtId="170" fontId="0" fillId="0" borderId="7" xfId="0" applyNumberForma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170" fontId="0" fillId="0" borderId="2" xfId="0" applyNumberFormat="1" applyBorder="1" applyAlignment="1">
      <alignment horizontal="left" vertical="center"/>
    </xf>
    <xf numFmtId="170" fontId="19" fillId="0" borderId="7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70" fontId="7" fillId="0" borderId="21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165" fontId="24" fillId="0" borderId="1" xfId="0" applyNumberFormat="1" applyFont="1" applyBorder="1" applyAlignment="1">
      <alignment vertical="center"/>
    </xf>
    <xf numFmtId="165" fontId="24" fillId="0" borderId="8" xfId="0" applyNumberFormat="1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183" fontId="24" fillId="0" borderId="2" xfId="0" applyNumberFormat="1" applyFont="1" applyBorder="1" applyAlignment="1">
      <alignment vertical="center"/>
    </xf>
    <xf numFmtId="173" fontId="21" fillId="0" borderId="1" xfId="0" applyNumberFormat="1" applyFon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3" xfId="0" applyBorder="1" applyAlignment="1">
      <alignment vertical="center"/>
    </xf>
    <xf numFmtId="0" fontId="4" fillId="0" borderId="1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182" fontId="20" fillId="0" borderId="21" xfId="0" applyNumberFormat="1" applyFont="1" applyBorder="1" applyAlignment="1">
      <alignment horizontal="center" vertical="center"/>
    </xf>
    <xf numFmtId="0" fontId="27" fillId="0" borderId="17" xfId="0" applyFont="1" applyBorder="1" applyAlignment="1">
      <alignment horizontal="right" vertical="center"/>
    </xf>
    <xf numFmtId="170" fontId="3" fillId="0" borderId="7" xfId="0" applyNumberFormat="1" applyFont="1" applyBorder="1" applyAlignment="1">
      <alignment horizontal="left" vertical="center"/>
    </xf>
    <xf numFmtId="167" fontId="0" fillId="0" borderId="34" xfId="0" applyNumberFormat="1" applyBorder="1" applyAlignment="1">
      <alignment horizontal="center" vertical="center"/>
    </xf>
    <xf numFmtId="170" fontId="3" fillId="0" borderId="7" xfId="0" applyNumberFormat="1" applyFont="1" applyBorder="1" applyAlignment="1">
      <alignment horizontal="center" vertical="center"/>
    </xf>
    <xf numFmtId="181" fontId="27" fillId="0" borderId="28" xfId="0" applyNumberFormat="1" applyFont="1" applyBorder="1" applyAlignment="1">
      <alignment horizontal="center"/>
    </xf>
    <xf numFmtId="181" fontId="27" fillId="0" borderId="28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0" xfId="0" applyFont="1" applyAlignment="1">
      <alignment vertical="center"/>
    </xf>
    <xf numFmtId="181" fontId="27" fillId="0" borderId="29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/>
    <xf numFmtId="0" fontId="13" fillId="4" borderId="1" xfId="0" applyFont="1" applyFill="1" applyBorder="1" applyAlignment="1">
      <alignment vertical="center" wrapText="1"/>
    </xf>
    <xf numFmtId="0" fontId="12" fillId="5" borderId="1" xfId="0" applyFont="1" applyFill="1" applyBorder="1"/>
    <xf numFmtId="0" fontId="12" fillId="5" borderId="1" xfId="0" applyFont="1" applyFill="1" applyBorder="1" applyAlignment="1">
      <alignment horizontal="left" indent="3"/>
    </xf>
    <xf numFmtId="0" fontId="13" fillId="3" borderId="1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67" fontId="0" fillId="0" borderId="6" xfId="0" applyNumberForma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21" fillId="2" borderId="3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170" fontId="21" fillId="0" borderId="6" xfId="0" applyNumberFormat="1" applyFont="1" applyBorder="1" applyAlignment="1">
      <alignment horizontal="center" vertical="center"/>
    </xf>
    <xf numFmtId="166" fontId="21" fillId="0" borderId="34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4" fillId="10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67" fontId="0" fillId="0" borderId="0" xfId="0" applyNumberForma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70" fontId="21" fillId="0" borderId="0" xfId="0" applyNumberFormat="1" applyFont="1" applyAlignment="1">
      <alignment vertical="center"/>
    </xf>
    <xf numFmtId="166" fontId="24" fillId="0" borderId="12" xfId="0" applyNumberFormat="1" applyFont="1" applyBorder="1" applyAlignment="1">
      <alignment horizontal="center" vertical="center"/>
    </xf>
    <xf numFmtId="181" fontId="27" fillId="0" borderId="26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24" fillId="0" borderId="34" xfId="1" applyNumberFormat="1" applyFont="1" applyBorder="1" applyAlignment="1">
      <alignment horizontal="center" vertical="center"/>
    </xf>
    <xf numFmtId="170" fontId="24" fillId="0" borderId="42" xfId="1" applyNumberFormat="1" applyFont="1" applyBorder="1" applyAlignment="1">
      <alignment horizontal="center" vertical="center"/>
    </xf>
    <xf numFmtId="170" fontId="3" fillId="0" borderId="45" xfId="0" applyNumberFormat="1" applyFont="1" applyBorder="1" applyAlignment="1">
      <alignment horizontal="center" vertical="center"/>
    </xf>
    <xf numFmtId="0" fontId="24" fillId="0" borderId="47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183" fontId="24" fillId="0" borderId="47" xfId="0" applyNumberFormat="1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67" fontId="0" fillId="0" borderId="9" xfId="0" applyNumberFormat="1" applyBorder="1" applyAlignment="1">
      <alignment vertical="center"/>
    </xf>
    <xf numFmtId="0" fontId="21" fillId="0" borderId="9" xfId="0" applyFont="1" applyBorder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6" fontId="21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0" fontId="4" fillId="9" borderId="20" xfId="0" applyFont="1" applyFill="1" applyBorder="1" applyAlignment="1">
      <alignment vertical="center"/>
    </xf>
    <xf numFmtId="0" fontId="4" fillId="10" borderId="20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5" fontId="21" fillId="0" borderId="15" xfId="0" applyNumberFormat="1" applyFont="1" applyBorder="1" applyAlignment="1">
      <alignment horizontal="center" vertical="center"/>
    </xf>
    <xf numFmtId="169" fontId="21" fillId="0" borderId="6" xfId="0" applyNumberFormat="1" applyFont="1" applyBorder="1" applyAlignment="1">
      <alignment horizontal="center" vertical="center"/>
    </xf>
    <xf numFmtId="169" fontId="24" fillId="0" borderId="12" xfId="1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74" fontId="24" fillId="0" borderId="12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184" fontId="21" fillId="0" borderId="6" xfId="0" applyNumberFormat="1" applyFont="1" applyBorder="1" applyAlignment="1">
      <alignment horizontal="center" vertical="center" wrapText="1"/>
    </xf>
    <xf numFmtId="0" fontId="21" fillId="0" borderId="4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167" fontId="21" fillId="0" borderId="52" xfId="0" applyNumberFormat="1" applyFont="1" applyBorder="1" applyAlignment="1">
      <alignment horizontal="left" vertical="center"/>
    </xf>
    <xf numFmtId="167" fontId="21" fillId="0" borderId="26" xfId="0" applyNumberFormat="1" applyFont="1" applyBorder="1" applyAlignment="1">
      <alignment horizontal="left" vertical="center"/>
    </xf>
    <xf numFmtId="167" fontId="21" fillId="0" borderId="35" xfId="0" applyNumberFormat="1" applyFont="1" applyBorder="1" applyAlignment="1">
      <alignment horizontal="left" vertical="center"/>
    </xf>
    <xf numFmtId="169" fontId="21" fillId="0" borderId="6" xfId="0" applyNumberFormat="1" applyFont="1" applyBorder="1" applyAlignment="1">
      <alignment horizontal="center" vertical="center" wrapText="1"/>
    </xf>
    <xf numFmtId="0" fontId="21" fillId="0" borderId="47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0" fontId="21" fillId="0" borderId="33" xfId="0" applyFont="1" applyBorder="1" applyAlignment="1">
      <alignment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20" fillId="0" borderId="28" xfId="0" applyNumberFormat="1" applyFont="1" applyBorder="1" applyAlignment="1">
      <alignment horizontal="center" vertical="center"/>
    </xf>
    <xf numFmtId="166" fontId="20" fillId="0" borderId="24" xfId="0" applyNumberFormat="1" applyFont="1" applyBorder="1" applyAlignment="1">
      <alignment horizontal="center" vertical="center"/>
    </xf>
    <xf numFmtId="167" fontId="0" fillId="6" borderId="28" xfId="0" applyNumberFormat="1" applyFill="1" applyBorder="1" applyAlignment="1" applyProtection="1">
      <alignment horizontal="center" vertical="center" wrapText="1"/>
      <protection locked="0"/>
    </xf>
    <xf numFmtId="167" fontId="0" fillId="6" borderId="24" xfId="0" applyNumberFormat="1" applyFill="1" applyBorder="1" applyAlignment="1" applyProtection="1">
      <alignment horizontal="center" vertical="center" wrapText="1"/>
      <protection locked="0"/>
    </xf>
    <xf numFmtId="166" fontId="27" fillId="0" borderId="28" xfId="0" applyNumberFormat="1" applyFont="1" applyBorder="1" applyAlignment="1">
      <alignment horizontal="center" vertical="center" wrapText="1"/>
    </xf>
    <xf numFmtId="166" fontId="27" fillId="0" borderId="24" xfId="0" applyNumberFormat="1" applyFont="1" applyBorder="1" applyAlignment="1">
      <alignment horizontal="center" vertical="center" wrapText="1"/>
    </xf>
    <xf numFmtId="167" fontId="21" fillId="0" borderId="2" xfId="0" applyNumberFormat="1" applyFont="1" applyBorder="1" applyAlignment="1">
      <alignment horizontal="left" vertical="center"/>
    </xf>
    <xf numFmtId="167" fontId="21" fillId="0" borderId="1" xfId="0" applyNumberFormat="1" applyFont="1" applyBorder="1" applyAlignment="1">
      <alignment horizontal="left" vertical="center"/>
    </xf>
    <xf numFmtId="167" fontId="20" fillId="6" borderId="28" xfId="0" applyNumberFormat="1" applyFont="1" applyFill="1" applyBorder="1" applyAlignment="1" applyProtection="1">
      <alignment horizontal="center" vertical="center"/>
      <protection locked="0"/>
    </xf>
    <xf numFmtId="167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9" fillId="0" borderId="51" xfId="0" applyFont="1" applyBorder="1" applyAlignment="1">
      <alignment horizontal="left" vertical="center"/>
    </xf>
    <xf numFmtId="0" fontId="9" fillId="0" borderId="36" xfId="0" applyFont="1" applyBorder="1" applyAlignment="1">
      <alignment horizontal="left" vertical="center"/>
    </xf>
    <xf numFmtId="0" fontId="9" fillId="0" borderId="37" xfId="0" applyFont="1" applyBorder="1" applyAlignment="1">
      <alignment horizontal="left" vertical="center"/>
    </xf>
    <xf numFmtId="170" fontId="21" fillId="0" borderId="41" xfId="0" applyNumberFormat="1" applyFont="1" applyBorder="1" applyAlignment="1">
      <alignment horizontal="center" vertical="center"/>
    </xf>
    <xf numFmtId="167" fontId="21" fillId="0" borderId="47" xfId="0" applyNumberFormat="1" applyFont="1" applyBorder="1" applyAlignment="1">
      <alignment horizontal="left" vertical="center"/>
    </xf>
    <xf numFmtId="167" fontId="21" fillId="0" borderId="28" xfId="0" applyNumberFormat="1" applyFont="1" applyBorder="1" applyAlignment="1">
      <alignment horizontal="left" vertical="center"/>
    </xf>
    <xf numFmtId="167" fontId="21" fillId="0" borderId="33" xfId="0" applyNumberFormat="1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7" fillId="0" borderId="2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170" fontId="21" fillId="0" borderId="8" xfId="0" applyNumberFormat="1" applyFont="1" applyBorder="1" applyAlignment="1">
      <alignment horizontal="right" vertical="center"/>
    </xf>
    <xf numFmtId="170" fontId="21" fillId="0" borderId="43" xfId="0" applyNumberFormat="1" applyFont="1" applyBorder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165" fontId="20" fillId="6" borderId="36" xfId="0" applyNumberFormat="1" applyFont="1" applyFill="1" applyBorder="1" applyAlignment="1" applyProtection="1">
      <alignment horizontal="center" vertical="center"/>
      <protection locked="0"/>
    </xf>
    <xf numFmtId="165" fontId="20" fillId="6" borderId="37" xfId="0" applyNumberFormat="1" applyFont="1" applyFill="1" applyBorder="1" applyAlignment="1" applyProtection="1">
      <alignment horizontal="center" vertical="center"/>
      <protection locked="0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5" fillId="0" borderId="53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/>
    </xf>
    <xf numFmtId="0" fontId="25" fillId="0" borderId="54" xfId="0" applyFont="1" applyBorder="1" applyAlignment="1">
      <alignment horizontal="left" vertical="center"/>
    </xf>
    <xf numFmtId="0" fontId="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5" fillId="0" borderId="52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166" fontId="20" fillId="6" borderId="8" xfId="0" applyNumberFormat="1" applyFont="1" applyFill="1" applyBorder="1" applyAlignment="1" applyProtection="1">
      <alignment horizontal="center" vertical="center"/>
      <protection locked="0"/>
    </xf>
    <xf numFmtId="166" fontId="20" fillId="6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right" vertical="center"/>
    </xf>
    <xf numFmtId="0" fontId="25" fillId="0" borderId="29" xfId="0" applyFont="1" applyBorder="1" applyAlignment="1">
      <alignment horizontal="right" vertical="center"/>
    </xf>
    <xf numFmtId="0" fontId="25" fillId="0" borderId="30" xfId="0" applyFont="1" applyBorder="1" applyAlignment="1">
      <alignment horizontal="right" vertical="center"/>
    </xf>
    <xf numFmtId="170" fontId="36" fillId="0" borderId="0" xfId="0" applyNumberFormat="1" applyFont="1" applyAlignment="1">
      <alignment horizontal="center" wrapText="1"/>
    </xf>
    <xf numFmtId="0" fontId="21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7" fillId="0" borderId="7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166" fontId="20" fillId="6" borderId="26" xfId="0" applyNumberFormat="1" applyFont="1" applyFill="1" applyBorder="1" applyAlignment="1" applyProtection="1">
      <alignment horizontal="center" vertical="center"/>
      <protection locked="0"/>
    </xf>
    <xf numFmtId="166" fontId="20" fillId="6" borderId="25" xfId="0" applyNumberFormat="1" applyFont="1" applyFill="1" applyBorder="1" applyAlignment="1" applyProtection="1">
      <alignment horizontal="center" vertical="center"/>
      <protection locked="0"/>
    </xf>
    <xf numFmtId="170" fontId="21" fillId="0" borderId="48" xfId="0" applyNumberFormat="1" applyFont="1" applyBorder="1" applyAlignment="1">
      <alignment horizontal="right" vertical="center"/>
    </xf>
    <xf numFmtId="170" fontId="21" fillId="0" borderId="49" xfId="0" applyNumberFormat="1" applyFont="1" applyBorder="1" applyAlignment="1">
      <alignment horizontal="right" vertical="center"/>
    </xf>
    <xf numFmtId="0" fontId="21" fillId="2" borderId="47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33" xfId="0" applyFont="1" applyFill="1" applyBorder="1" applyAlignment="1">
      <alignment horizontal="center" vertical="center"/>
    </xf>
    <xf numFmtId="0" fontId="25" fillId="0" borderId="47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6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9" fillId="0" borderId="18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7" fillId="0" borderId="20" xfId="0" applyFont="1" applyBorder="1" applyAlignment="1">
      <alignment horizontal="right" vertical="center"/>
    </xf>
    <xf numFmtId="0" fontId="27" fillId="0" borderId="28" xfId="0" applyFont="1" applyBorder="1" applyAlignment="1">
      <alignment horizontal="right" vertical="center"/>
    </xf>
    <xf numFmtId="0" fontId="27" fillId="0" borderId="33" xfId="0" applyFont="1" applyBorder="1" applyAlignment="1">
      <alignment horizontal="right" vertical="center"/>
    </xf>
    <xf numFmtId="167" fontId="0" fillId="0" borderId="34" xfId="0" applyNumberFormat="1" applyBorder="1" applyAlignment="1">
      <alignment horizontal="center" vertical="center"/>
    </xf>
    <xf numFmtId="170" fontId="37" fillId="0" borderId="0" xfId="0" applyNumberFormat="1" applyFont="1" applyAlignment="1">
      <alignment horizontal="center" wrapText="1"/>
    </xf>
    <xf numFmtId="0" fontId="21" fillId="0" borderId="27" xfId="0" applyFont="1" applyBorder="1" applyAlignment="1">
      <alignment vertical="center"/>
    </xf>
    <xf numFmtId="0" fontId="21" fillId="0" borderId="15" xfId="0" applyFont="1" applyBorder="1" applyAlignment="1">
      <alignment vertical="center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8" xfId="0" applyNumberFormat="1" applyFont="1" applyFill="1" applyBorder="1" applyAlignment="1" applyProtection="1">
      <alignment horizontal="center" vertical="center"/>
      <protection locked="0"/>
    </xf>
    <xf numFmtId="166" fontId="20" fillId="2" borderId="24" xfId="0" applyNumberFormat="1" applyFont="1" applyFill="1" applyBorder="1" applyAlignment="1" applyProtection="1">
      <alignment horizontal="center" vertical="center"/>
      <protection locked="0"/>
    </xf>
    <xf numFmtId="167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3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13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167" fontId="21" fillId="0" borderId="27" xfId="0" applyNumberFormat="1" applyFont="1" applyBorder="1" applyAlignment="1">
      <alignment horizontal="left" vertical="center"/>
    </xf>
    <xf numFmtId="167" fontId="21" fillId="0" borderId="15" xfId="0" applyNumberFormat="1" applyFont="1" applyBorder="1" applyAlignment="1">
      <alignment horizontal="left" vertical="center"/>
    </xf>
    <xf numFmtId="0" fontId="24" fillId="0" borderId="2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166" fontId="27" fillId="6" borderId="28" xfId="0" applyNumberFormat="1" applyFont="1" applyFill="1" applyBorder="1" applyAlignment="1" applyProtection="1">
      <alignment horizontal="center" vertical="center"/>
      <protection locked="0"/>
    </xf>
    <xf numFmtId="166" fontId="27" fillId="6" borderId="24" xfId="0" applyNumberFormat="1" applyFont="1" applyFill="1" applyBorder="1" applyAlignment="1" applyProtection="1">
      <alignment horizontal="center" vertical="center"/>
      <protection locked="0"/>
    </xf>
    <xf numFmtId="170" fontId="21" fillId="0" borderId="35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1" fillId="0" borderId="1" xfId="0" applyNumberFormat="1" applyFont="1" applyBorder="1" applyAlignment="1">
      <alignment horizontal="center" vertical="center"/>
    </xf>
    <xf numFmtId="170" fontId="21" fillId="0" borderId="6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3" xfId="0" applyNumberFormat="1" applyFont="1" applyFill="1" applyBorder="1" applyAlignment="1" applyProtection="1">
      <alignment horizontal="center" vertical="center"/>
      <protection locked="0"/>
    </xf>
    <xf numFmtId="0" fontId="24" fillId="0" borderId="47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33" xfId="0" applyFont="1" applyBorder="1" applyAlignment="1">
      <alignment vertical="center"/>
    </xf>
    <xf numFmtId="166" fontId="20" fillId="0" borderId="20" xfId="0" applyNumberFormat="1" applyFont="1" applyBorder="1" applyAlignment="1">
      <alignment horizontal="center" vertical="center"/>
    </xf>
    <xf numFmtId="0" fontId="21" fillId="0" borderId="52" xfId="0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0" fontId="21" fillId="0" borderId="35" xfId="0" applyFont="1" applyBorder="1" applyAlignment="1">
      <alignment vertical="center"/>
    </xf>
    <xf numFmtId="170" fontId="21" fillId="0" borderId="42" xfId="0" applyNumberFormat="1" applyFont="1" applyBorder="1" applyAlignment="1">
      <alignment horizontal="center" vertical="center"/>
    </xf>
    <xf numFmtId="170" fontId="21" fillId="0" borderId="46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171" fontId="12" fillId="0" borderId="15" xfId="0" applyNumberFormat="1" applyFont="1" applyBorder="1" applyAlignment="1">
      <alignment horizontal="center" vertical="center"/>
    </xf>
    <xf numFmtId="171" fontId="12" fillId="0" borderId="39" xfId="0" applyNumberFormat="1" applyFont="1" applyBorder="1" applyAlignment="1">
      <alignment horizontal="center" vertical="center"/>
    </xf>
    <xf numFmtId="171" fontId="12" fillId="0" borderId="16" xfId="0" applyNumberFormat="1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6" xfId="0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</cellXfs>
  <cellStyles count="3287">
    <cellStyle name="Гиперссылка" xfId="2" builtinId="8"/>
    <cellStyle name="Гиперссылка 2" xfId="8" xr:uid="{00000000-0005-0000-0000-000001000000}"/>
    <cellStyle name="Денежный 2" xfId="13" xr:uid="{00000000-0005-0000-0000-000002000000}"/>
    <cellStyle name="Денежный 3" xfId="14" xr:uid="{00000000-0005-0000-0000-000003000000}"/>
    <cellStyle name="Денежный 3 2" xfId="26" xr:uid="{00000000-0005-0000-0000-000004000000}"/>
    <cellStyle name="Денежный 3 3" xfId="33" xr:uid="{00000000-0005-0000-0000-000005000000}"/>
    <cellStyle name="Денежный 3 3 2" xfId="128" xr:uid="{00000000-0005-0000-0000-000006000000}"/>
    <cellStyle name="Денежный 3 3 3" xfId="80" xr:uid="{00000000-0005-0000-0000-000007000000}"/>
    <cellStyle name="Денежный 4" xfId="7" xr:uid="{00000000-0005-0000-0000-000008000000}"/>
    <cellStyle name="Денежный 4 2" xfId="16" xr:uid="{00000000-0005-0000-0000-000009000000}"/>
    <cellStyle name="Денежный 4 3" xfId="15" xr:uid="{00000000-0005-0000-0000-00000A000000}"/>
    <cellStyle name="Денежный 5" xfId="115" xr:uid="{00000000-0005-0000-0000-00000B000000}"/>
    <cellStyle name="Денежный 6" xfId="9" xr:uid="{00000000-0005-0000-0000-00000C000000}"/>
    <cellStyle name="Обычный" xfId="0" builtinId="0"/>
    <cellStyle name="Обычный 2" xfId="10" xr:uid="{00000000-0005-0000-0000-00000E000000}"/>
    <cellStyle name="Обычный 2 10" xfId="306" xr:uid="{00000000-0005-0000-0000-00000F000000}"/>
    <cellStyle name="Обычный 2 10 2" xfId="849" xr:uid="{00000000-0005-0000-0000-000010000000}"/>
    <cellStyle name="Обычный 2 10 2 2" xfId="2463" xr:uid="{00000000-0005-0000-0000-000011000000}"/>
    <cellStyle name="Обычный 2 10 3" xfId="1385" xr:uid="{00000000-0005-0000-0000-000012000000}"/>
    <cellStyle name="Обычный 2 10 3 2" xfId="2999" xr:uid="{00000000-0005-0000-0000-000013000000}"/>
    <cellStyle name="Обычный 2 10 4" xfId="1921" xr:uid="{00000000-0005-0000-0000-000014000000}"/>
    <cellStyle name="Обычный 2 11" xfId="575" xr:uid="{00000000-0005-0000-0000-000015000000}"/>
    <cellStyle name="Обычный 2 11 2" xfId="2189" xr:uid="{00000000-0005-0000-0000-000016000000}"/>
    <cellStyle name="Обычный 2 12" xfId="1117" xr:uid="{00000000-0005-0000-0000-000017000000}"/>
    <cellStyle name="Обычный 2 12 2" xfId="2731" xr:uid="{00000000-0005-0000-0000-000018000000}"/>
    <cellStyle name="Обычный 2 13" xfId="1653" xr:uid="{00000000-0005-0000-0000-000019000000}"/>
    <cellStyle name="Обычный 2 2" xfId="6" xr:uid="{00000000-0005-0000-0000-00001A000000}"/>
    <cellStyle name="Обычный 2 3" xfId="23" xr:uid="{00000000-0005-0000-0000-00001B000000}"/>
    <cellStyle name="Обычный 2 3 10" xfId="311" xr:uid="{00000000-0005-0000-0000-00001C000000}"/>
    <cellStyle name="Обычный 2 3 10 2" xfId="854" xr:uid="{00000000-0005-0000-0000-00001D000000}"/>
    <cellStyle name="Обычный 2 3 10 2 2" xfId="2468" xr:uid="{00000000-0005-0000-0000-00001E000000}"/>
    <cellStyle name="Обычный 2 3 10 3" xfId="1390" xr:uid="{00000000-0005-0000-0000-00001F000000}"/>
    <cellStyle name="Обычный 2 3 10 3 2" xfId="3004" xr:uid="{00000000-0005-0000-0000-000020000000}"/>
    <cellStyle name="Обычный 2 3 10 4" xfId="1926" xr:uid="{00000000-0005-0000-0000-000021000000}"/>
    <cellStyle name="Обычный 2 3 11" xfId="582" xr:uid="{00000000-0005-0000-0000-000022000000}"/>
    <cellStyle name="Обычный 2 3 11 2" xfId="2196" xr:uid="{00000000-0005-0000-0000-000023000000}"/>
    <cellStyle name="Обычный 2 3 12" xfId="1122" xr:uid="{00000000-0005-0000-0000-000024000000}"/>
    <cellStyle name="Обычный 2 3 12 2" xfId="2736" xr:uid="{00000000-0005-0000-0000-000025000000}"/>
    <cellStyle name="Обычный 2 3 13" xfId="1658" xr:uid="{00000000-0005-0000-0000-000026000000}"/>
    <cellStyle name="Обычный 2 3 2" xfId="46" xr:uid="{00000000-0005-0000-0000-000027000000}"/>
    <cellStyle name="Обычный 2 3 2 2" xfId="64" xr:uid="{00000000-0005-0000-0000-000028000000}"/>
    <cellStyle name="Обычный 2 3 2 2 2" xfId="159" xr:uid="{00000000-0005-0000-0000-000029000000}"/>
    <cellStyle name="Обычный 2 3 2 2 2 2" xfId="298" xr:uid="{00000000-0005-0000-0000-00002A000000}"/>
    <cellStyle name="Обычный 2 3 2 2 2 2 2" xfId="566" xr:uid="{00000000-0005-0000-0000-00002B000000}"/>
    <cellStyle name="Обычный 2 3 2 2 2 2 2 2" xfId="1109" xr:uid="{00000000-0005-0000-0000-00002C000000}"/>
    <cellStyle name="Обычный 2 3 2 2 2 2 2 2 2" xfId="2723" xr:uid="{00000000-0005-0000-0000-00002D000000}"/>
    <cellStyle name="Обычный 2 3 2 2 2 2 2 3" xfId="1645" xr:uid="{00000000-0005-0000-0000-00002E000000}"/>
    <cellStyle name="Обычный 2 3 2 2 2 2 2 3 2" xfId="3259" xr:uid="{00000000-0005-0000-0000-00002F000000}"/>
    <cellStyle name="Обычный 2 3 2 2 2 2 2 4" xfId="2181" xr:uid="{00000000-0005-0000-0000-000030000000}"/>
    <cellStyle name="Обычный 2 3 2 2 2 2 3" xfId="841" xr:uid="{00000000-0005-0000-0000-000031000000}"/>
    <cellStyle name="Обычный 2 3 2 2 2 2 3 2" xfId="2455" xr:uid="{00000000-0005-0000-0000-000032000000}"/>
    <cellStyle name="Обычный 2 3 2 2 2 2 4" xfId="1377" xr:uid="{00000000-0005-0000-0000-000033000000}"/>
    <cellStyle name="Обычный 2 3 2 2 2 2 4 2" xfId="2991" xr:uid="{00000000-0005-0000-0000-000034000000}"/>
    <cellStyle name="Обычный 2 3 2 2 2 2 5" xfId="1913" xr:uid="{00000000-0005-0000-0000-000035000000}"/>
    <cellStyle name="Обычный 2 3 2 2 2 3" xfId="434" xr:uid="{00000000-0005-0000-0000-000036000000}"/>
    <cellStyle name="Обычный 2 3 2 2 2 3 2" xfId="977" xr:uid="{00000000-0005-0000-0000-000037000000}"/>
    <cellStyle name="Обычный 2 3 2 2 2 3 2 2" xfId="2591" xr:uid="{00000000-0005-0000-0000-000038000000}"/>
    <cellStyle name="Обычный 2 3 2 2 2 3 3" xfId="1513" xr:uid="{00000000-0005-0000-0000-000039000000}"/>
    <cellStyle name="Обычный 2 3 2 2 2 3 3 2" xfId="3127" xr:uid="{00000000-0005-0000-0000-00003A000000}"/>
    <cellStyle name="Обычный 2 3 2 2 2 3 4" xfId="2049" xr:uid="{00000000-0005-0000-0000-00003B000000}"/>
    <cellStyle name="Обычный 2 3 2 2 2 4" xfId="709" xr:uid="{00000000-0005-0000-0000-00003C000000}"/>
    <cellStyle name="Обычный 2 3 2 2 2 4 2" xfId="2323" xr:uid="{00000000-0005-0000-0000-00003D000000}"/>
    <cellStyle name="Обычный 2 3 2 2 2 5" xfId="1245" xr:uid="{00000000-0005-0000-0000-00003E000000}"/>
    <cellStyle name="Обычный 2 3 2 2 2 5 2" xfId="2859" xr:uid="{00000000-0005-0000-0000-00003F000000}"/>
    <cellStyle name="Обычный 2 3 2 2 2 6" xfId="1781" xr:uid="{00000000-0005-0000-0000-000040000000}"/>
    <cellStyle name="Обычный 2 3 2 2 3" xfId="111" xr:uid="{00000000-0005-0000-0000-000041000000}"/>
    <cellStyle name="Обычный 2 3 2 2 3 2" xfId="253" xr:uid="{00000000-0005-0000-0000-000042000000}"/>
    <cellStyle name="Обычный 2 3 2 2 3 2 2" xfId="522" xr:uid="{00000000-0005-0000-0000-000043000000}"/>
    <cellStyle name="Обычный 2 3 2 2 3 2 2 2" xfId="1065" xr:uid="{00000000-0005-0000-0000-000044000000}"/>
    <cellStyle name="Обычный 2 3 2 2 3 2 2 2 2" xfId="2679" xr:uid="{00000000-0005-0000-0000-000045000000}"/>
    <cellStyle name="Обычный 2 3 2 2 3 2 2 3" xfId="1601" xr:uid="{00000000-0005-0000-0000-000046000000}"/>
    <cellStyle name="Обычный 2 3 2 2 3 2 2 3 2" xfId="3215" xr:uid="{00000000-0005-0000-0000-000047000000}"/>
    <cellStyle name="Обычный 2 3 2 2 3 2 2 4" xfId="2137" xr:uid="{00000000-0005-0000-0000-000048000000}"/>
    <cellStyle name="Обычный 2 3 2 2 3 2 3" xfId="797" xr:uid="{00000000-0005-0000-0000-000049000000}"/>
    <cellStyle name="Обычный 2 3 2 2 3 2 3 2" xfId="2411" xr:uid="{00000000-0005-0000-0000-00004A000000}"/>
    <cellStyle name="Обычный 2 3 2 2 3 2 4" xfId="1333" xr:uid="{00000000-0005-0000-0000-00004B000000}"/>
    <cellStyle name="Обычный 2 3 2 2 3 2 4 2" xfId="2947" xr:uid="{00000000-0005-0000-0000-00004C000000}"/>
    <cellStyle name="Обычный 2 3 2 2 3 2 5" xfId="1869" xr:uid="{00000000-0005-0000-0000-00004D000000}"/>
    <cellStyle name="Обычный 2 3 2 2 3 3" xfId="390" xr:uid="{00000000-0005-0000-0000-00004E000000}"/>
    <cellStyle name="Обычный 2 3 2 2 3 3 2" xfId="933" xr:uid="{00000000-0005-0000-0000-00004F000000}"/>
    <cellStyle name="Обычный 2 3 2 2 3 3 2 2" xfId="2547" xr:uid="{00000000-0005-0000-0000-000050000000}"/>
    <cellStyle name="Обычный 2 3 2 2 3 3 3" xfId="1469" xr:uid="{00000000-0005-0000-0000-000051000000}"/>
    <cellStyle name="Обычный 2 3 2 2 3 3 3 2" xfId="3083" xr:uid="{00000000-0005-0000-0000-000052000000}"/>
    <cellStyle name="Обычный 2 3 2 2 3 3 4" xfId="2005" xr:uid="{00000000-0005-0000-0000-000053000000}"/>
    <cellStyle name="Обычный 2 3 2 2 3 4" xfId="664" xr:uid="{00000000-0005-0000-0000-000054000000}"/>
    <cellStyle name="Обычный 2 3 2 2 3 4 2" xfId="2278" xr:uid="{00000000-0005-0000-0000-000055000000}"/>
    <cellStyle name="Обычный 2 3 2 2 3 5" xfId="1201" xr:uid="{00000000-0005-0000-0000-000056000000}"/>
    <cellStyle name="Обычный 2 3 2 2 3 5 2" xfId="2815" xr:uid="{00000000-0005-0000-0000-000057000000}"/>
    <cellStyle name="Обычный 2 3 2 2 3 6" xfId="1737" xr:uid="{00000000-0005-0000-0000-000058000000}"/>
    <cellStyle name="Обычный 2 3 2 2 4" xfId="208" xr:uid="{00000000-0005-0000-0000-000059000000}"/>
    <cellStyle name="Обычный 2 3 2 2 4 2" xfId="478" xr:uid="{00000000-0005-0000-0000-00005A000000}"/>
    <cellStyle name="Обычный 2 3 2 2 4 2 2" xfId="1021" xr:uid="{00000000-0005-0000-0000-00005B000000}"/>
    <cellStyle name="Обычный 2 3 2 2 4 2 2 2" xfId="2635" xr:uid="{00000000-0005-0000-0000-00005C000000}"/>
    <cellStyle name="Обычный 2 3 2 2 4 2 3" xfId="1557" xr:uid="{00000000-0005-0000-0000-00005D000000}"/>
    <cellStyle name="Обычный 2 3 2 2 4 2 3 2" xfId="3171" xr:uid="{00000000-0005-0000-0000-00005E000000}"/>
    <cellStyle name="Обычный 2 3 2 2 4 2 4" xfId="2093" xr:uid="{00000000-0005-0000-0000-00005F000000}"/>
    <cellStyle name="Обычный 2 3 2 2 4 3" xfId="753" xr:uid="{00000000-0005-0000-0000-000060000000}"/>
    <cellStyle name="Обычный 2 3 2 2 4 3 2" xfId="2367" xr:uid="{00000000-0005-0000-0000-000061000000}"/>
    <cellStyle name="Обычный 2 3 2 2 4 4" xfId="1289" xr:uid="{00000000-0005-0000-0000-000062000000}"/>
    <cellStyle name="Обычный 2 3 2 2 4 4 2" xfId="2903" xr:uid="{00000000-0005-0000-0000-000063000000}"/>
    <cellStyle name="Обычный 2 3 2 2 4 5" xfId="1825" xr:uid="{00000000-0005-0000-0000-000064000000}"/>
    <cellStyle name="Обычный 2 3 2 2 5" xfId="346" xr:uid="{00000000-0005-0000-0000-000065000000}"/>
    <cellStyle name="Обычный 2 3 2 2 5 2" xfId="889" xr:uid="{00000000-0005-0000-0000-000066000000}"/>
    <cellStyle name="Обычный 2 3 2 2 5 2 2" xfId="2503" xr:uid="{00000000-0005-0000-0000-000067000000}"/>
    <cellStyle name="Обычный 2 3 2 2 5 3" xfId="1425" xr:uid="{00000000-0005-0000-0000-000068000000}"/>
    <cellStyle name="Обычный 2 3 2 2 5 3 2" xfId="3039" xr:uid="{00000000-0005-0000-0000-000069000000}"/>
    <cellStyle name="Обычный 2 3 2 2 5 4" xfId="1961" xr:uid="{00000000-0005-0000-0000-00006A000000}"/>
    <cellStyle name="Обычный 2 3 2 2 6" xfId="619" xr:uid="{00000000-0005-0000-0000-00006B000000}"/>
    <cellStyle name="Обычный 2 3 2 2 6 2" xfId="2233" xr:uid="{00000000-0005-0000-0000-00006C000000}"/>
    <cellStyle name="Обычный 2 3 2 2 7" xfId="1157" xr:uid="{00000000-0005-0000-0000-00006D000000}"/>
    <cellStyle name="Обычный 2 3 2 2 7 2" xfId="2771" xr:uid="{00000000-0005-0000-0000-00006E000000}"/>
    <cellStyle name="Обычный 2 3 2 2 8" xfId="1693" xr:uid="{00000000-0005-0000-0000-00006F000000}"/>
    <cellStyle name="Обычный 2 3 2 3" xfId="141" xr:uid="{00000000-0005-0000-0000-000070000000}"/>
    <cellStyle name="Обычный 2 3 2 3 2" xfId="280" xr:uid="{00000000-0005-0000-0000-000071000000}"/>
    <cellStyle name="Обычный 2 3 2 3 2 2" xfId="548" xr:uid="{00000000-0005-0000-0000-000072000000}"/>
    <cellStyle name="Обычный 2 3 2 3 2 2 2" xfId="1091" xr:uid="{00000000-0005-0000-0000-000073000000}"/>
    <cellStyle name="Обычный 2 3 2 3 2 2 2 2" xfId="2705" xr:uid="{00000000-0005-0000-0000-000074000000}"/>
    <cellStyle name="Обычный 2 3 2 3 2 2 3" xfId="1627" xr:uid="{00000000-0005-0000-0000-000075000000}"/>
    <cellStyle name="Обычный 2 3 2 3 2 2 3 2" xfId="3241" xr:uid="{00000000-0005-0000-0000-000076000000}"/>
    <cellStyle name="Обычный 2 3 2 3 2 2 4" xfId="2163" xr:uid="{00000000-0005-0000-0000-000077000000}"/>
    <cellStyle name="Обычный 2 3 2 3 2 3" xfId="823" xr:uid="{00000000-0005-0000-0000-000078000000}"/>
    <cellStyle name="Обычный 2 3 2 3 2 3 2" xfId="2437" xr:uid="{00000000-0005-0000-0000-000079000000}"/>
    <cellStyle name="Обычный 2 3 2 3 2 4" xfId="1359" xr:uid="{00000000-0005-0000-0000-00007A000000}"/>
    <cellStyle name="Обычный 2 3 2 3 2 4 2" xfId="2973" xr:uid="{00000000-0005-0000-0000-00007B000000}"/>
    <cellStyle name="Обычный 2 3 2 3 2 5" xfId="1895" xr:uid="{00000000-0005-0000-0000-00007C000000}"/>
    <cellStyle name="Обычный 2 3 2 3 3" xfId="416" xr:uid="{00000000-0005-0000-0000-00007D000000}"/>
    <cellStyle name="Обычный 2 3 2 3 3 2" xfId="959" xr:uid="{00000000-0005-0000-0000-00007E000000}"/>
    <cellStyle name="Обычный 2 3 2 3 3 2 2" xfId="2573" xr:uid="{00000000-0005-0000-0000-00007F000000}"/>
    <cellStyle name="Обычный 2 3 2 3 3 3" xfId="1495" xr:uid="{00000000-0005-0000-0000-000080000000}"/>
    <cellStyle name="Обычный 2 3 2 3 3 3 2" xfId="3109" xr:uid="{00000000-0005-0000-0000-000081000000}"/>
    <cellStyle name="Обычный 2 3 2 3 3 4" xfId="2031" xr:uid="{00000000-0005-0000-0000-000082000000}"/>
    <cellStyle name="Обычный 2 3 2 3 4" xfId="691" xr:uid="{00000000-0005-0000-0000-000083000000}"/>
    <cellStyle name="Обычный 2 3 2 3 4 2" xfId="2305" xr:uid="{00000000-0005-0000-0000-000084000000}"/>
    <cellStyle name="Обычный 2 3 2 3 5" xfId="1227" xr:uid="{00000000-0005-0000-0000-000085000000}"/>
    <cellStyle name="Обычный 2 3 2 3 5 2" xfId="2841" xr:uid="{00000000-0005-0000-0000-000086000000}"/>
    <cellStyle name="Обычный 2 3 2 3 6" xfId="1763" xr:uid="{00000000-0005-0000-0000-000087000000}"/>
    <cellStyle name="Обычный 2 3 2 4" xfId="93" xr:uid="{00000000-0005-0000-0000-000088000000}"/>
    <cellStyle name="Обычный 2 3 2 4 2" xfId="235" xr:uid="{00000000-0005-0000-0000-000089000000}"/>
    <cellStyle name="Обычный 2 3 2 4 2 2" xfId="504" xr:uid="{00000000-0005-0000-0000-00008A000000}"/>
    <cellStyle name="Обычный 2 3 2 4 2 2 2" xfId="1047" xr:uid="{00000000-0005-0000-0000-00008B000000}"/>
    <cellStyle name="Обычный 2 3 2 4 2 2 2 2" xfId="2661" xr:uid="{00000000-0005-0000-0000-00008C000000}"/>
    <cellStyle name="Обычный 2 3 2 4 2 2 3" xfId="1583" xr:uid="{00000000-0005-0000-0000-00008D000000}"/>
    <cellStyle name="Обычный 2 3 2 4 2 2 3 2" xfId="3197" xr:uid="{00000000-0005-0000-0000-00008E000000}"/>
    <cellStyle name="Обычный 2 3 2 4 2 2 4" xfId="2119" xr:uid="{00000000-0005-0000-0000-00008F000000}"/>
    <cellStyle name="Обычный 2 3 2 4 2 3" xfId="779" xr:uid="{00000000-0005-0000-0000-000090000000}"/>
    <cellStyle name="Обычный 2 3 2 4 2 3 2" xfId="2393" xr:uid="{00000000-0005-0000-0000-000091000000}"/>
    <cellStyle name="Обычный 2 3 2 4 2 4" xfId="1315" xr:uid="{00000000-0005-0000-0000-000092000000}"/>
    <cellStyle name="Обычный 2 3 2 4 2 4 2" xfId="2929" xr:uid="{00000000-0005-0000-0000-000093000000}"/>
    <cellStyle name="Обычный 2 3 2 4 2 5" xfId="1851" xr:uid="{00000000-0005-0000-0000-000094000000}"/>
    <cellStyle name="Обычный 2 3 2 4 3" xfId="372" xr:uid="{00000000-0005-0000-0000-000095000000}"/>
    <cellStyle name="Обычный 2 3 2 4 3 2" xfId="915" xr:uid="{00000000-0005-0000-0000-000096000000}"/>
    <cellStyle name="Обычный 2 3 2 4 3 2 2" xfId="2529" xr:uid="{00000000-0005-0000-0000-000097000000}"/>
    <cellStyle name="Обычный 2 3 2 4 3 3" xfId="1451" xr:uid="{00000000-0005-0000-0000-000098000000}"/>
    <cellStyle name="Обычный 2 3 2 4 3 3 2" xfId="3065" xr:uid="{00000000-0005-0000-0000-000099000000}"/>
    <cellStyle name="Обычный 2 3 2 4 3 4" xfId="1987" xr:uid="{00000000-0005-0000-0000-00009A000000}"/>
    <cellStyle name="Обычный 2 3 2 4 4" xfId="646" xr:uid="{00000000-0005-0000-0000-00009B000000}"/>
    <cellStyle name="Обычный 2 3 2 4 4 2" xfId="2260" xr:uid="{00000000-0005-0000-0000-00009C000000}"/>
    <cellStyle name="Обычный 2 3 2 4 5" xfId="1183" xr:uid="{00000000-0005-0000-0000-00009D000000}"/>
    <cellStyle name="Обычный 2 3 2 4 5 2" xfId="2797" xr:uid="{00000000-0005-0000-0000-00009E000000}"/>
    <cellStyle name="Обычный 2 3 2 4 6" xfId="1719" xr:uid="{00000000-0005-0000-0000-00009F000000}"/>
    <cellStyle name="Обычный 2 3 2 5" xfId="190" xr:uid="{00000000-0005-0000-0000-0000A0000000}"/>
    <cellStyle name="Обычный 2 3 2 5 2" xfId="460" xr:uid="{00000000-0005-0000-0000-0000A1000000}"/>
    <cellStyle name="Обычный 2 3 2 5 2 2" xfId="1003" xr:uid="{00000000-0005-0000-0000-0000A2000000}"/>
    <cellStyle name="Обычный 2 3 2 5 2 2 2" xfId="2617" xr:uid="{00000000-0005-0000-0000-0000A3000000}"/>
    <cellStyle name="Обычный 2 3 2 5 2 3" xfId="1539" xr:uid="{00000000-0005-0000-0000-0000A4000000}"/>
    <cellStyle name="Обычный 2 3 2 5 2 3 2" xfId="3153" xr:uid="{00000000-0005-0000-0000-0000A5000000}"/>
    <cellStyle name="Обычный 2 3 2 5 2 4" xfId="2075" xr:uid="{00000000-0005-0000-0000-0000A6000000}"/>
    <cellStyle name="Обычный 2 3 2 5 3" xfId="735" xr:uid="{00000000-0005-0000-0000-0000A7000000}"/>
    <cellStyle name="Обычный 2 3 2 5 3 2" xfId="2349" xr:uid="{00000000-0005-0000-0000-0000A8000000}"/>
    <cellStyle name="Обычный 2 3 2 5 4" xfId="1271" xr:uid="{00000000-0005-0000-0000-0000A9000000}"/>
    <cellStyle name="Обычный 2 3 2 5 4 2" xfId="2885" xr:uid="{00000000-0005-0000-0000-0000AA000000}"/>
    <cellStyle name="Обычный 2 3 2 5 5" xfId="1807" xr:uid="{00000000-0005-0000-0000-0000AB000000}"/>
    <cellStyle name="Обычный 2 3 2 6" xfId="328" xr:uid="{00000000-0005-0000-0000-0000AC000000}"/>
    <cellStyle name="Обычный 2 3 2 6 2" xfId="871" xr:uid="{00000000-0005-0000-0000-0000AD000000}"/>
    <cellStyle name="Обычный 2 3 2 6 2 2" xfId="2485" xr:uid="{00000000-0005-0000-0000-0000AE000000}"/>
    <cellStyle name="Обычный 2 3 2 6 3" xfId="1407" xr:uid="{00000000-0005-0000-0000-0000AF000000}"/>
    <cellStyle name="Обычный 2 3 2 6 3 2" xfId="3021" xr:uid="{00000000-0005-0000-0000-0000B0000000}"/>
    <cellStyle name="Обычный 2 3 2 6 4" xfId="1943" xr:uid="{00000000-0005-0000-0000-0000B1000000}"/>
    <cellStyle name="Обычный 2 3 2 7" xfId="601" xr:uid="{00000000-0005-0000-0000-0000B2000000}"/>
    <cellStyle name="Обычный 2 3 2 7 2" xfId="2215" xr:uid="{00000000-0005-0000-0000-0000B3000000}"/>
    <cellStyle name="Обычный 2 3 2 8" xfId="1139" xr:uid="{00000000-0005-0000-0000-0000B4000000}"/>
    <cellStyle name="Обычный 2 3 2 8 2" xfId="2753" xr:uid="{00000000-0005-0000-0000-0000B5000000}"/>
    <cellStyle name="Обычный 2 3 2 9" xfId="1675" xr:uid="{00000000-0005-0000-0000-0000B6000000}"/>
    <cellStyle name="Обычный 2 3 3" xfId="37" xr:uid="{00000000-0005-0000-0000-0000B7000000}"/>
    <cellStyle name="Обычный 2 3 3 2" xfId="132" xr:uid="{00000000-0005-0000-0000-0000B8000000}"/>
    <cellStyle name="Обычный 2 3 3 2 2" xfId="271" xr:uid="{00000000-0005-0000-0000-0000B9000000}"/>
    <cellStyle name="Обычный 2 3 3 2 2 2" xfId="539" xr:uid="{00000000-0005-0000-0000-0000BA000000}"/>
    <cellStyle name="Обычный 2 3 3 2 2 2 2" xfId="1082" xr:uid="{00000000-0005-0000-0000-0000BB000000}"/>
    <cellStyle name="Обычный 2 3 3 2 2 2 2 2" xfId="2696" xr:uid="{00000000-0005-0000-0000-0000BC000000}"/>
    <cellStyle name="Обычный 2 3 3 2 2 2 3" xfId="1618" xr:uid="{00000000-0005-0000-0000-0000BD000000}"/>
    <cellStyle name="Обычный 2 3 3 2 2 2 3 2" xfId="3232" xr:uid="{00000000-0005-0000-0000-0000BE000000}"/>
    <cellStyle name="Обычный 2 3 3 2 2 2 4" xfId="2154" xr:uid="{00000000-0005-0000-0000-0000BF000000}"/>
    <cellStyle name="Обычный 2 3 3 2 2 3" xfId="814" xr:uid="{00000000-0005-0000-0000-0000C0000000}"/>
    <cellStyle name="Обычный 2 3 3 2 2 3 2" xfId="2428" xr:uid="{00000000-0005-0000-0000-0000C1000000}"/>
    <cellStyle name="Обычный 2 3 3 2 2 4" xfId="1350" xr:uid="{00000000-0005-0000-0000-0000C2000000}"/>
    <cellStyle name="Обычный 2 3 3 2 2 4 2" xfId="2964" xr:uid="{00000000-0005-0000-0000-0000C3000000}"/>
    <cellStyle name="Обычный 2 3 3 2 2 5" xfId="1886" xr:uid="{00000000-0005-0000-0000-0000C4000000}"/>
    <cellStyle name="Обычный 2 3 3 2 3" xfId="407" xr:uid="{00000000-0005-0000-0000-0000C5000000}"/>
    <cellStyle name="Обычный 2 3 3 2 3 2" xfId="950" xr:uid="{00000000-0005-0000-0000-0000C6000000}"/>
    <cellStyle name="Обычный 2 3 3 2 3 2 2" xfId="2564" xr:uid="{00000000-0005-0000-0000-0000C7000000}"/>
    <cellStyle name="Обычный 2 3 3 2 3 3" xfId="1486" xr:uid="{00000000-0005-0000-0000-0000C8000000}"/>
    <cellStyle name="Обычный 2 3 3 2 3 3 2" xfId="3100" xr:uid="{00000000-0005-0000-0000-0000C9000000}"/>
    <cellStyle name="Обычный 2 3 3 2 3 4" xfId="2022" xr:uid="{00000000-0005-0000-0000-0000CA000000}"/>
    <cellStyle name="Обычный 2 3 3 2 4" xfId="682" xr:uid="{00000000-0005-0000-0000-0000CB000000}"/>
    <cellStyle name="Обычный 2 3 3 2 4 2" xfId="2296" xr:uid="{00000000-0005-0000-0000-0000CC000000}"/>
    <cellStyle name="Обычный 2 3 3 2 5" xfId="1218" xr:uid="{00000000-0005-0000-0000-0000CD000000}"/>
    <cellStyle name="Обычный 2 3 3 2 5 2" xfId="2832" xr:uid="{00000000-0005-0000-0000-0000CE000000}"/>
    <cellStyle name="Обычный 2 3 3 2 6" xfId="1754" xr:uid="{00000000-0005-0000-0000-0000CF000000}"/>
    <cellStyle name="Обычный 2 3 3 3" xfId="84" xr:uid="{00000000-0005-0000-0000-0000D0000000}"/>
    <cellStyle name="Обычный 2 3 3 3 2" xfId="226" xr:uid="{00000000-0005-0000-0000-0000D1000000}"/>
    <cellStyle name="Обычный 2 3 3 3 2 2" xfId="495" xr:uid="{00000000-0005-0000-0000-0000D2000000}"/>
    <cellStyle name="Обычный 2 3 3 3 2 2 2" xfId="1038" xr:uid="{00000000-0005-0000-0000-0000D3000000}"/>
    <cellStyle name="Обычный 2 3 3 3 2 2 2 2" xfId="2652" xr:uid="{00000000-0005-0000-0000-0000D4000000}"/>
    <cellStyle name="Обычный 2 3 3 3 2 2 3" xfId="1574" xr:uid="{00000000-0005-0000-0000-0000D5000000}"/>
    <cellStyle name="Обычный 2 3 3 3 2 2 3 2" xfId="3188" xr:uid="{00000000-0005-0000-0000-0000D6000000}"/>
    <cellStyle name="Обычный 2 3 3 3 2 2 4" xfId="2110" xr:uid="{00000000-0005-0000-0000-0000D7000000}"/>
    <cellStyle name="Обычный 2 3 3 3 2 3" xfId="770" xr:uid="{00000000-0005-0000-0000-0000D8000000}"/>
    <cellStyle name="Обычный 2 3 3 3 2 3 2" xfId="2384" xr:uid="{00000000-0005-0000-0000-0000D9000000}"/>
    <cellStyle name="Обычный 2 3 3 3 2 4" xfId="1306" xr:uid="{00000000-0005-0000-0000-0000DA000000}"/>
    <cellStyle name="Обычный 2 3 3 3 2 4 2" xfId="2920" xr:uid="{00000000-0005-0000-0000-0000DB000000}"/>
    <cellStyle name="Обычный 2 3 3 3 2 5" xfId="1842" xr:uid="{00000000-0005-0000-0000-0000DC000000}"/>
    <cellStyle name="Обычный 2 3 3 3 3" xfId="363" xr:uid="{00000000-0005-0000-0000-0000DD000000}"/>
    <cellStyle name="Обычный 2 3 3 3 3 2" xfId="906" xr:uid="{00000000-0005-0000-0000-0000DE000000}"/>
    <cellStyle name="Обычный 2 3 3 3 3 2 2" xfId="2520" xr:uid="{00000000-0005-0000-0000-0000DF000000}"/>
    <cellStyle name="Обычный 2 3 3 3 3 3" xfId="1442" xr:uid="{00000000-0005-0000-0000-0000E0000000}"/>
    <cellStyle name="Обычный 2 3 3 3 3 3 2" xfId="3056" xr:uid="{00000000-0005-0000-0000-0000E1000000}"/>
    <cellStyle name="Обычный 2 3 3 3 3 4" xfId="1978" xr:uid="{00000000-0005-0000-0000-0000E2000000}"/>
    <cellStyle name="Обычный 2 3 3 3 4" xfId="637" xr:uid="{00000000-0005-0000-0000-0000E3000000}"/>
    <cellStyle name="Обычный 2 3 3 3 4 2" xfId="2251" xr:uid="{00000000-0005-0000-0000-0000E4000000}"/>
    <cellStyle name="Обычный 2 3 3 3 5" xfId="1174" xr:uid="{00000000-0005-0000-0000-0000E5000000}"/>
    <cellStyle name="Обычный 2 3 3 3 5 2" xfId="2788" xr:uid="{00000000-0005-0000-0000-0000E6000000}"/>
    <cellStyle name="Обычный 2 3 3 3 6" xfId="1710" xr:uid="{00000000-0005-0000-0000-0000E7000000}"/>
    <cellStyle name="Обычный 2 3 3 4" xfId="181" xr:uid="{00000000-0005-0000-0000-0000E8000000}"/>
    <cellStyle name="Обычный 2 3 3 4 2" xfId="451" xr:uid="{00000000-0005-0000-0000-0000E9000000}"/>
    <cellStyle name="Обычный 2 3 3 4 2 2" xfId="994" xr:uid="{00000000-0005-0000-0000-0000EA000000}"/>
    <cellStyle name="Обычный 2 3 3 4 2 2 2" xfId="2608" xr:uid="{00000000-0005-0000-0000-0000EB000000}"/>
    <cellStyle name="Обычный 2 3 3 4 2 3" xfId="1530" xr:uid="{00000000-0005-0000-0000-0000EC000000}"/>
    <cellStyle name="Обычный 2 3 3 4 2 3 2" xfId="3144" xr:uid="{00000000-0005-0000-0000-0000ED000000}"/>
    <cellStyle name="Обычный 2 3 3 4 2 4" xfId="2066" xr:uid="{00000000-0005-0000-0000-0000EE000000}"/>
    <cellStyle name="Обычный 2 3 3 4 3" xfId="726" xr:uid="{00000000-0005-0000-0000-0000EF000000}"/>
    <cellStyle name="Обычный 2 3 3 4 3 2" xfId="2340" xr:uid="{00000000-0005-0000-0000-0000F0000000}"/>
    <cellStyle name="Обычный 2 3 3 4 4" xfId="1262" xr:uid="{00000000-0005-0000-0000-0000F1000000}"/>
    <cellStyle name="Обычный 2 3 3 4 4 2" xfId="2876" xr:uid="{00000000-0005-0000-0000-0000F2000000}"/>
    <cellStyle name="Обычный 2 3 3 4 5" xfId="1798" xr:uid="{00000000-0005-0000-0000-0000F3000000}"/>
    <cellStyle name="Обычный 2 3 3 5" xfId="319" xr:uid="{00000000-0005-0000-0000-0000F4000000}"/>
    <cellStyle name="Обычный 2 3 3 5 2" xfId="862" xr:uid="{00000000-0005-0000-0000-0000F5000000}"/>
    <cellStyle name="Обычный 2 3 3 5 2 2" xfId="2476" xr:uid="{00000000-0005-0000-0000-0000F6000000}"/>
    <cellStyle name="Обычный 2 3 3 5 3" xfId="1398" xr:uid="{00000000-0005-0000-0000-0000F7000000}"/>
    <cellStyle name="Обычный 2 3 3 5 3 2" xfId="3012" xr:uid="{00000000-0005-0000-0000-0000F8000000}"/>
    <cellStyle name="Обычный 2 3 3 5 4" xfId="1934" xr:uid="{00000000-0005-0000-0000-0000F9000000}"/>
    <cellStyle name="Обычный 2 3 3 6" xfId="592" xr:uid="{00000000-0005-0000-0000-0000FA000000}"/>
    <cellStyle name="Обычный 2 3 3 6 2" xfId="2206" xr:uid="{00000000-0005-0000-0000-0000FB000000}"/>
    <cellStyle name="Обычный 2 3 3 7" xfId="1130" xr:uid="{00000000-0005-0000-0000-0000FC000000}"/>
    <cellStyle name="Обычный 2 3 3 7 2" xfId="2744" xr:uid="{00000000-0005-0000-0000-0000FD000000}"/>
    <cellStyle name="Обычный 2 3 3 8" xfId="1666" xr:uid="{00000000-0005-0000-0000-0000FE000000}"/>
    <cellStyle name="Обычный 2 3 4" xfId="54" xr:uid="{00000000-0005-0000-0000-0000FF000000}"/>
    <cellStyle name="Обычный 2 3 4 2" xfId="149" xr:uid="{00000000-0005-0000-0000-000000010000}"/>
    <cellStyle name="Обычный 2 3 4 2 2" xfId="288" xr:uid="{00000000-0005-0000-0000-000001010000}"/>
    <cellStyle name="Обычный 2 3 4 2 2 2" xfId="556" xr:uid="{00000000-0005-0000-0000-000002010000}"/>
    <cellStyle name="Обычный 2 3 4 2 2 2 2" xfId="1099" xr:uid="{00000000-0005-0000-0000-000003010000}"/>
    <cellStyle name="Обычный 2 3 4 2 2 2 2 2" xfId="2713" xr:uid="{00000000-0005-0000-0000-000004010000}"/>
    <cellStyle name="Обычный 2 3 4 2 2 2 3" xfId="1635" xr:uid="{00000000-0005-0000-0000-000005010000}"/>
    <cellStyle name="Обычный 2 3 4 2 2 2 3 2" xfId="3249" xr:uid="{00000000-0005-0000-0000-000006010000}"/>
    <cellStyle name="Обычный 2 3 4 2 2 2 4" xfId="2171" xr:uid="{00000000-0005-0000-0000-000007010000}"/>
    <cellStyle name="Обычный 2 3 4 2 2 3" xfId="831" xr:uid="{00000000-0005-0000-0000-000008010000}"/>
    <cellStyle name="Обычный 2 3 4 2 2 3 2" xfId="2445" xr:uid="{00000000-0005-0000-0000-000009010000}"/>
    <cellStyle name="Обычный 2 3 4 2 2 4" xfId="1367" xr:uid="{00000000-0005-0000-0000-00000A010000}"/>
    <cellStyle name="Обычный 2 3 4 2 2 4 2" xfId="2981" xr:uid="{00000000-0005-0000-0000-00000B010000}"/>
    <cellStyle name="Обычный 2 3 4 2 2 5" xfId="1903" xr:uid="{00000000-0005-0000-0000-00000C010000}"/>
    <cellStyle name="Обычный 2 3 4 2 3" xfId="424" xr:uid="{00000000-0005-0000-0000-00000D010000}"/>
    <cellStyle name="Обычный 2 3 4 2 3 2" xfId="967" xr:uid="{00000000-0005-0000-0000-00000E010000}"/>
    <cellStyle name="Обычный 2 3 4 2 3 2 2" xfId="2581" xr:uid="{00000000-0005-0000-0000-00000F010000}"/>
    <cellStyle name="Обычный 2 3 4 2 3 3" xfId="1503" xr:uid="{00000000-0005-0000-0000-000010010000}"/>
    <cellStyle name="Обычный 2 3 4 2 3 3 2" xfId="3117" xr:uid="{00000000-0005-0000-0000-000011010000}"/>
    <cellStyle name="Обычный 2 3 4 2 3 4" xfId="2039" xr:uid="{00000000-0005-0000-0000-000012010000}"/>
    <cellStyle name="Обычный 2 3 4 2 4" xfId="699" xr:uid="{00000000-0005-0000-0000-000013010000}"/>
    <cellStyle name="Обычный 2 3 4 2 4 2" xfId="2313" xr:uid="{00000000-0005-0000-0000-000014010000}"/>
    <cellStyle name="Обычный 2 3 4 2 5" xfId="1235" xr:uid="{00000000-0005-0000-0000-000015010000}"/>
    <cellStyle name="Обычный 2 3 4 2 5 2" xfId="2849" xr:uid="{00000000-0005-0000-0000-000016010000}"/>
    <cellStyle name="Обычный 2 3 4 2 6" xfId="1771" xr:uid="{00000000-0005-0000-0000-000017010000}"/>
    <cellStyle name="Обычный 2 3 4 3" xfId="101" xr:uid="{00000000-0005-0000-0000-000018010000}"/>
    <cellStyle name="Обычный 2 3 4 3 2" xfId="243" xr:uid="{00000000-0005-0000-0000-000019010000}"/>
    <cellStyle name="Обычный 2 3 4 3 2 2" xfId="512" xr:uid="{00000000-0005-0000-0000-00001A010000}"/>
    <cellStyle name="Обычный 2 3 4 3 2 2 2" xfId="1055" xr:uid="{00000000-0005-0000-0000-00001B010000}"/>
    <cellStyle name="Обычный 2 3 4 3 2 2 2 2" xfId="2669" xr:uid="{00000000-0005-0000-0000-00001C010000}"/>
    <cellStyle name="Обычный 2 3 4 3 2 2 3" xfId="1591" xr:uid="{00000000-0005-0000-0000-00001D010000}"/>
    <cellStyle name="Обычный 2 3 4 3 2 2 3 2" xfId="3205" xr:uid="{00000000-0005-0000-0000-00001E010000}"/>
    <cellStyle name="Обычный 2 3 4 3 2 2 4" xfId="2127" xr:uid="{00000000-0005-0000-0000-00001F010000}"/>
    <cellStyle name="Обычный 2 3 4 3 2 3" xfId="787" xr:uid="{00000000-0005-0000-0000-000020010000}"/>
    <cellStyle name="Обычный 2 3 4 3 2 3 2" xfId="2401" xr:uid="{00000000-0005-0000-0000-000021010000}"/>
    <cellStyle name="Обычный 2 3 4 3 2 4" xfId="1323" xr:uid="{00000000-0005-0000-0000-000022010000}"/>
    <cellStyle name="Обычный 2 3 4 3 2 4 2" xfId="2937" xr:uid="{00000000-0005-0000-0000-000023010000}"/>
    <cellStyle name="Обычный 2 3 4 3 2 5" xfId="1859" xr:uid="{00000000-0005-0000-0000-000024010000}"/>
    <cellStyle name="Обычный 2 3 4 3 3" xfId="380" xr:uid="{00000000-0005-0000-0000-000025010000}"/>
    <cellStyle name="Обычный 2 3 4 3 3 2" xfId="923" xr:uid="{00000000-0005-0000-0000-000026010000}"/>
    <cellStyle name="Обычный 2 3 4 3 3 2 2" xfId="2537" xr:uid="{00000000-0005-0000-0000-000027010000}"/>
    <cellStyle name="Обычный 2 3 4 3 3 3" xfId="1459" xr:uid="{00000000-0005-0000-0000-000028010000}"/>
    <cellStyle name="Обычный 2 3 4 3 3 3 2" xfId="3073" xr:uid="{00000000-0005-0000-0000-000029010000}"/>
    <cellStyle name="Обычный 2 3 4 3 3 4" xfId="1995" xr:uid="{00000000-0005-0000-0000-00002A010000}"/>
    <cellStyle name="Обычный 2 3 4 3 4" xfId="654" xr:uid="{00000000-0005-0000-0000-00002B010000}"/>
    <cellStyle name="Обычный 2 3 4 3 4 2" xfId="2268" xr:uid="{00000000-0005-0000-0000-00002C010000}"/>
    <cellStyle name="Обычный 2 3 4 3 5" xfId="1191" xr:uid="{00000000-0005-0000-0000-00002D010000}"/>
    <cellStyle name="Обычный 2 3 4 3 5 2" xfId="2805" xr:uid="{00000000-0005-0000-0000-00002E010000}"/>
    <cellStyle name="Обычный 2 3 4 3 6" xfId="1727" xr:uid="{00000000-0005-0000-0000-00002F010000}"/>
    <cellStyle name="Обычный 2 3 4 4" xfId="198" xr:uid="{00000000-0005-0000-0000-000030010000}"/>
    <cellStyle name="Обычный 2 3 4 4 2" xfId="468" xr:uid="{00000000-0005-0000-0000-000031010000}"/>
    <cellStyle name="Обычный 2 3 4 4 2 2" xfId="1011" xr:uid="{00000000-0005-0000-0000-000032010000}"/>
    <cellStyle name="Обычный 2 3 4 4 2 2 2" xfId="2625" xr:uid="{00000000-0005-0000-0000-000033010000}"/>
    <cellStyle name="Обычный 2 3 4 4 2 3" xfId="1547" xr:uid="{00000000-0005-0000-0000-000034010000}"/>
    <cellStyle name="Обычный 2 3 4 4 2 3 2" xfId="3161" xr:uid="{00000000-0005-0000-0000-000035010000}"/>
    <cellStyle name="Обычный 2 3 4 4 2 4" xfId="2083" xr:uid="{00000000-0005-0000-0000-000036010000}"/>
    <cellStyle name="Обычный 2 3 4 4 3" xfId="743" xr:uid="{00000000-0005-0000-0000-000037010000}"/>
    <cellStyle name="Обычный 2 3 4 4 3 2" xfId="2357" xr:uid="{00000000-0005-0000-0000-000038010000}"/>
    <cellStyle name="Обычный 2 3 4 4 4" xfId="1279" xr:uid="{00000000-0005-0000-0000-000039010000}"/>
    <cellStyle name="Обычный 2 3 4 4 4 2" xfId="2893" xr:uid="{00000000-0005-0000-0000-00003A010000}"/>
    <cellStyle name="Обычный 2 3 4 4 5" xfId="1815" xr:uid="{00000000-0005-0000-0000-00003B010000}"/>
    <cellStyle name="Обычный 2 3 4 5" xfId="336" xr:uid="{00000000-0005-0000-0000-00003C010000}"/>
    <cellStyle name="Обычный 2 3 4 5 2" xfId="879" xr:uid="{00000000-0005-0000-0000-00003D010000}"/>
    <cellStyle name="Обычный 2 3 4 5 2 2" xfId="2493" xr:uid="{00000000-0005-0000-0000-00003E010000}"/>
    <cellStyle name="Обычный 2 3 4 5 3" xfId="1415" xr:uid="{00000000-0005-0000-0000-00003F010000}"/>
    <cellStyle name="Обычный 2 3 4 5 3 2" xfId="3029" xr:uid="{00000000-0005-0000-0000-000040010000}"/>
    <cellStyle name="Обычный 2 3 4 5 4" xfId="1951" xr:uid="{00000000-0005-0000-0000-000041010000}"/>
    <cellStyle name="Обычный 2 3 4 6" xfId="609" xr:uid="{00000000-0005-0000-0000-000042010000}"/>
    <cellStyle name="Обычный 2 3 4 6 2" xfId="2223" xr:uid="{00000000-0005-0000-0000-000043010000}"/>
    <cellStyle name="Обычный 2 3 4 7" xfId="1147" xr:uid="{00000000-0005-0000-0000-000044010000}"/>
    <cellStyle name="Обычный 2 3 4 7 2" xfId="2761" xr:uid="{00000000-0005-0000-0000-000045010000}"/>
    <cellStyle name="Обычный 2 3 4 8" xfId="1683" xr:uid="{00000000-0005-0000-0000-000046010000}"/>
    <cellStyle name="Обычный 2 3 5" xfId="121" xr:uid="{00000000-0005-0000-0000-000047010000}"/>
    <cellStyle name="Обычный 2 3 5 2" xfId="262" xr:uid="{00000000-0005-0000-0000-000048010000}"/>
    <cellStyle name="Обычный 2 3 5 2 2" xfId="531" xr:uid="{00000000-0005-0000-0000-000049010000}"/>
    <cellStyle name="Обычный 2 3 5 2 2 2" xfId="1074" xr:uid="{00000000-0005-0000-0000-00004A010000}"/>
    <cellStyle name="Обычный 2 3 5 2 2 2 2" xfId="2688" xr:uid="{00000000-0005-0000-0000-00004B010000}"/>
    <cellStyle name="Обычный 2 3 5 2 2 3" xfId="1610" xr:uid="{00000000-0005-0000-0000-00004C010000}"/>
    <cellStyle name="Обычный 2 3 5 2 2 3 2" xfId="3224" xr:uid="{00000000-0005-0000-0000-00004D010000}"/>
    <cellStyle name="Обычный 2 3 5 2 2 4" xfId="2146" xr:uid="{00000000-0005-0000-0000-00004E010000}"/>
    <cellStyle name="Обычный 2 3 5 2 3" xfId="806" xr:uid="{00000000-0005-0000-0000-00004F010000}"/>
    <cellStyle name="Обычный 2 3 5 2 3 2" xfId="2420" xr:uid="{00000000-0005-0000-0000-000050010000}"/>
    <cellStyle name="Обычный 2 3 5 2 4" xfId="1342" xr:uid="{00000000-0005-0000-0000-000051010000}"/>
    <cellStyle name="Обычный 2 3 5 2 4 2" xfId="2956" xr:uid="{00000000-0005-0000-0000-000052010000}"/>
    <cellStyle name="Обычный 2 3 5 2 5" xfId="1878" xr:uid="{00000000-0005-0000-0000-000053010000}"/>
    <cellStyle name="Обычный 2 3 5 3" xfId="399" xr:uid="{00000000-0005-0000-0000-000054010000}"/>
    <cellStyle name="Обычный 2 3 5 3 2" xfId="942" xr:uid="{00000000-0005-0000-0000-000055010000}"/>
    <cellStyle name="Обычный 2 3 5 3 2 2" xfId="2556" xr:uid="{00000000-0005-0000-0000-000056010000}"/>
    <cellStyle name="Обычный 2 3 5 3 3" xfId="1478" xr:uid="{00000000-0005-0000-0000-000057010000}"/>
    <cellStyle name="Обычный 2 3 5 3 3 2" xfId="3092" xr:uid="{00000000-0005-0000-0000-000058010000}"/>
    <cellStyle name="Обычный 2 3 5 3 4" xfId="2014" xr:uid="{00000000-0005-0000-0000-000059010000}"/>
    <cellStyle name="Обычный 2 3 5 4" xfId="673" xr:uid="{00000000-0005-0000-0000-00005A010000}"/>
    <cellStyle name="Обычный 2 3 5 4 2" xfId="2287" xr:uid="{00000000-0005-0000-0000-00005B010000}"/>
    <cellStyle name="Обычный 2 3 5 5" xfId="1210" xr:uid="{00000000-0005-0000-0000-00005C010000}"/>
    <cellStyle name="Обычный 2 3 5 5 2" xfId="2824" xr:uid="{00000000-0005-0000-0000-00005D010000}"/>
    <cellStyle name="Обычный 2 3 5 6" xfId="1746" xr:uid="{00000000-0005-0000-0000-00005E010000}"/>
    <cellStyle name="Обычный 2 3 6" xfId="73" xr:uid="{00000000-0005-0000-0000-00005F010000}"/>
    <cellStyle name="Обычный 2 3 6 2" xfId="217" xr:uid="{00000000-0005-0000-0000-000060010000}"/>
    <cellStyle name="Обычный 2 3 6 2 2" xfId="487" xr:uid="{00000000-0005-0000-0000-000061010000}"/>
    <cellStyle name="Обычный 2 3 6 2 2 2" xfId="1030" xr:uid="{00000000-0005-0000-0000-000062010000}"/>
    <cellStyle name="Обычный 2 3 6 2 2 2 2" xfId="2644" xr:uid="{00000000-0005-0000-0000-000063010000}"/>
    <cellStyle name="Обычный 2 3 6 2 2 3" xfId="1566" xr:uid="{00000000-0005-0000-0000-000064010000}"/>
    <cellStyle name="Обычный 2 3 6 2 2 3 2" xfId="3180" xr:uid="{00000000-0005-0000-0000-000065010000}"/>
    <cellStyle name="Обычный 2 3 6 2 2 4" xfId="2102" xr:uid="{00000000-0005-0000-0000-000066010000}"/>
    <cellStyle name="Обычный 2 3 6 2 3" xfId="762" xr:uid="{00000000-0005-0000-0000-000067010000}"/>
    <cellStyle name="Обычный 2 3 6 2 3 2" xfId="2376" xr:uid="{00000000-0005-0000-0000-000068010000}"/>
    <cellStyle name="Обычный 2 3 6 2 4" xfId="1298" xr:uid="{00000000-0005-0000-0000-000069010000}"/>
    <cellStyle name="Обычный 2 3 6 2 4 2" xfId="2912" xr:uid="{00000000-0005-0000-0000-00006A010000}"/>
    <cellStyle name="Обычный 2 3 6 2 5" xfId="1834" xr:uid="{00000000-0005-0000-0000-00006B010000}"/>
    <cellStyle name="Обычный 2 3 6 3" xfId="355" xr:uid="{00000000-0005-0000-0000-00006C010000}"/>
    <cellStyle name="Обычный 2 3 6 3 2" xfId="898" xr:uid="{00000000-0005-0000-0000-00006D010000}"/>
    <cellStyle name="Обычный 2 3 6 3 2 2" xfId="2512" xr:uid="{00000000-0005-0000-0000-00006E010000}"/>
    <cellStyle name="Обычный 2 3 6 3 3" xfId="1434" xr:uid="{00000000-0005-0000-0000-00006F010000}"/>
    <cellStyle name="Обычный 2 3 6 3 3 2" xfId="3048" xr:uid="{00000000-0005-0000-0000-000070010000}"/>
    <cellStyle name="Обычный 2 3 6 3 4" xfId="1970" xr:uid="{00000000-0005-0000-0000-000071010000}"/>
    <cellStyle name="Обычный 2 3 6 4" xfId="628" xr:uid="{00000000-0005-0000-0000-000072010000}"/>
    <cellStyle name="Обычный 2 3 6 4 2" xfId="2242" xr:uid="{00000000-0005-0000-0000-000073010000}"/>
    <cellStyle name="Обычный 2 3 6 5" xfId="1166" xr:uid="{00000000-0005-0000-0000-000074010000}"/>
    <cellStyle name="Обычный 2 3 6 5 2" xfId="2780" xr:uid="{00000000-0005-0000-0000-000075010000}"/>
    <cellStyle name="Обычный 2 3 6 6" xfId="1702" xr:uid="{00000000-0005-0000-0000-000076010000}"/>
    <cellStyle name="Обычный 2 3 7" xfId="171" xr:uid="{00000000-0005-0000-0000-000077010000}"/>
    <cellStyle name="Обычный 2 3 7 2" xfId="443" xr:uid="{00000000-0005-0000-0000-000078010000}"/>
    <cellStyle name="Обычный 2 3 7 2 2" xfId="986" xr:uid="{00000000-0005-0000-0000-000079010000}"/>
    <cellStyle name="Обычный 2 3 7 2 2 2" xfId="2600" xr:uid="{00000000-0005-0000-0000-00007A010000}"/>
    <cellStyle name="Обычный 2 3 7 2 3" xfId="1522" xr:uid="{00000000-0005-0000-0000-00007B010000}"/>
    <cellStyle name="Обычный 2 3 7 2 3 2" xfId="3136" xr:uid="{00000000-0005-0000-0000-00007C010000}"/>
    <cellStyle name="Обычный 2 3 7 2 4" xfId="2058" xr:uid="{00000000-0005-0000-0000-00007D010000}"/>
    <cellStyle name="Обычный 2 3 7 3" xfId="718" xr:uid="{00000000-0005-0000-0000-00007E010000}"/>
    <cellStyle name="Обычный 2 3 7 3 2" xfId="2332" xr:uid="{00000000-0005-0000-0000-00007F010000}"/>
    <cellStyle name="Обычный 2 3 7 4" xfId="1254" xr:uid="{00000000-0005-0000-0000-000080010000}"/>
    <cellStyle name="Обычный 2 3 7 4 2" xfId="2868" xr:uid="{00000000-0005-0000-0000-000081010000}"/>
    <cellStyle name="Обычный 2 3 7 5" xfId="1790" xr:uid="{00000000-0005-0000-0000-000082010000}"/>
    <cellStyle name="Обычный 2 3 8" xfId="302" xr:uid="{00000000-0005-0000-0000-000083010000}"/>
    <cellStyle name="Обычный 2 3 8 2" xfId="570" xr:uid="{00000000-0005-0000-0000-000084010000}"/>
    <cellStyle name="Обычный 2 3 8 2 2" xfId="1113" xr:uid="{00000000-0005-0000-0000-000085010000}"/>
    <cellStyle name="Обычный 2 3 8 2 2 2" xfId="2727" xr:uid="{00000000-0005-0000-0000-000086010000}"/>
    <cellStyle name="Обычный 2 3 8 2 3" xfId="1649" xr:uid="{00000000-0005-0000-0000-000087010000}"/>
    <cellStyle name="Обычный 2 3 8 2 3 2" xfId="3263" xr:uid="{00000000-0005-0000-0000-000088010000}"/>
    <cellStyle name="Обычный 2 3 8 2 4" xfId="2185" xr:uid="{00000000-0005-0000-0000-000089010000}"/>
    <cellStyle name="Обычный 2 3 8 3" xfId="845" xr:uid="{00000000-0005-0000-0000-00008A010000}"/>
    <cellStyle name="Обычный 2 3 8 3 2" xfId="2459" xr:uid="{00000000-0005-0000-0000-00008B010000}"/>
    <cellStyle name="Обычный 2 3 8 4" xfId="1381" xr:uid="{00000000-0005-0000-0000-00008C010000}"/>
    <cellStyle name="Обычный 2 3 8 4 2" xfId="2995" xr:uid="{00000000-0005-0000-0000-00008D010000}"/>
    <cellStyle name="Обычный 2 3 8 5" xfId="1917" xr:uid="{00000000-0005-0000-0000-00008E010000}"/>
    <cellStyle name="Обычный 2 3 9" xfId="304" xr:uid="{00000000-0005-0000-0000-00008F010000}"/>
    <cellStyle name="Обычный 2 3 9 2" xfId="572" xr:uid="{00000000-0005-0000-0000-000090010000}"/>
    <cellStyle name="Обычный 2 3 9 2 2" xfId="1115" xr:uid="{00000000-0005-0000-0000-000091010000}"/>
    <cellStyle name="Обычный 2 3 9 2 2 2" xfId="2729" xr:uid="{00000000-0005-0000-0000-000092010000}"/>
    <cellStyle name="Обычный 2 3 9 2 3" xfId="1651" xr:uid="{00000000-0005-0000-0000-000093010000}"/>
    <cellStyle name="Обычный 2 3 9 2 3 2" xfId="3265" xr:uid="{00000000-0005-0000-0000-000094010000}"/>
    <cellStyle name="Обычный 2 3 9 2 4" xfId="2187" xr:uid="{00000000-0005-0000-0000-000095010000}"/>
    <cellStyle name="Обычный 2 3 9 3" xfId="847" xr:uid="{00000000-0005-0000-0000-000096010000}"/>
    <cellStyle name="Обычный 2 3 9 3 2" xfId="2461" xr:uid="{00000000-0005-0000-0000-000097010000}"/>
    <cellStyle name="Обычный 2 3 9 4" xfId="1383" xr:uid="{00000000-0005-0000-0000-000098010000}"/>
    <cellStyle name="Обычный 2 3 9 4 2" xfId="2997" xr:uid="{00000000-0005-0000-0000-000099010000}"/>
    <cellStyle name="Обычный 2 3 9 5" xfId="1919" xr:uid="{00000000-0005-0000-0000-00009A010000}"/>
    <cellStyle name="Обычный 2 4" xfId="41" xr:uid="{00000000-0005-0000-0000-00009B010000}"/>
    <cellStyle name="Обычный 2 4 2" xfId="59" xr:uid="{00000000-0005-0000-0000-00009C010000}"/>
    <cellStyle name="Обычный 2 4 2 2" xfId="154" xr:uid="{00000000-0005-0000-0000-00009D010000}"/>
    <cellStyle name="Обычный 2 4 2 2 2" xfId="293" xr:uid="{00000000-0005-0000-0000-00009E010000}"/>
    <cellStyle name="Обычный 2 4 2 2 2 2" xfId="561" xr:uid="{00000000-0005-0000-0000-00009F010000}"/>
    <cellStyle name="Обычный 2 4 2 2 2 2 2" xfId="1104" xr:uid="{00000000-0005-0000-0000-0000A0010000}"/>
    <cellStyle name="Обычный 2 4 2 2 2 2 2 2" xfId="2718" xr:uid="{00000000-0005-0000-0000-0000A1010000}"/>
    <cellStyle name="Обычный 2 4 2 2 2 2 3" xfId="1640" xr:uid="{00000000-0005-0000-0000-0000A2010000}"/>
    <cellStyle name="Обычный 2 4 2 2 2 2 3 2" xfId="3254" xr:uid="{00000000-0005-0000-0000-0000A3010000}"/>
    <cellStyle name="Обычный 2 4 2 2 2 2 4" xfId="2176" xr:uid="{00000000-0005-0000-0000-0000A4010000}"/>
    <cellStyle name="Обычный 2 4 2 2 2 3" xfId="836" xr:uid="{00000000-0005-0000-0000-0000A5010000}"/>
    <cellStyle name="Обычный 2 4 2 2 2 3 2" xfId="2450" xr:uid="{00000000-0005-0000-0000-0000A6010000}"/>
    <cellStyle name="Обычный 2 4 2 2 2 4" xfId="1372" xr:uid="{00000000-0005-0000-0000-0000A7010000}"/>
    <cellStyle name="Обычный 2 4 2 2 2 4 2" xfId="2986" xr:uid="{00000000-0005-0000-0000-0000A8010000}"/>
    <cellStyle name="Обычный 2 4 2 2 2 5" xfId="1908" xr:uid="{00000000-0005-0000-0000-0000A9010000}"/>
    <cellStyle name="Обычный 2 4 2 2 3" xfId="429" xr:uid="{00000000-0005-0000-0000-0000AA010000}"/>
    <cellStyle name="Обычный 2 4 2 2 3 2" xfId="972" xr:uid="{00000000-0005-0000-0000-0000AB010000}"/>
    <cellStyle name="Обычный 2 4 2 2 3 2 2" xfId="2586" xr:uid="{00000000-0005-0000-0000-0000AC010000}"/>
    <cellStyle name="Обычный 2 4 2 2 3 3" xfId="1508" xr:uid="{00000000-0005-0000-0000-0000AD010000}"/>
    <cellStyle name="Обычный 2 4 2 2 3 3 2" xfId="3122" xr:uid="{00000000-0005-0000-0000-0000AE010000}"/>
    <cellStyle name="Обычный 2 4 2 2 3 4" xfId="2044" xr:uid="{00000000-0005-0000-0000-0000AF010000}"/>
    <cellStyle name="Обычный 2 4 2 2 4" xfId="704" xr:uid="{00000000-0005-0000-0000-0000B0010000}"/>
    <cellStyle name="Обычный 2 4 2 2 4 2" xfId="2318" xr:uid="{00000000-0005-0000-0000-0000B1010000}"/>
    <cellStyle name="Обычный 2 4 2 2 5" xfId="1240" xr:uid="{00000000-0005-0000-0000-0000B2010000}"/>
    <cellStyle name="Обычный 2 4 2 2 5 2" xfId="2854" xr:uid="{00000000-0005-0000-0000-0000B3010000}"/>
    <cellStyle name="Обычный 2 4 2 2 6" xfId="1776" xr:uid="{00000000-0005-0000-0000-0000B4010000}"/>
    <cellStyle name="Обычный 2 4 2 3" xfId="106" xr:uid="{00000000-0005-0000-0000-0000B5010000}"/>
    <cellStyle name="Обычный 2 4 2 3 2" xfId="248" xr:uid="{00000000-0005-0000-0000-0000B6010000}"/>
    <cellStyle name="Обычный 2 4 2 3 2 2" xfId="517" xr:uid="{00000000-0005-0000-0000-0000B7010000}"/>
    <cellStyle name="Обычный 2 4 2 3 2 2 2" xfId="1060" xr:uid="{00000000-0005-0000-0000-0000B8010000}"/>
    <cellStyle name="Обычный 2 4 2 3 2 2 2 2" xfId="2674" xr:uid="{00000000-0005-0000-0000-0000B9010000}"/>
    <cellStyle name="Обычный 2 4 2 3 2 2 3" xfId="1596" xr:uid="{00000000-0005-0000-0000-0000BA010000}"/>
    <cellStyle name="Обычный 2 4 2 3 2 2 3 2" xfId="3210" xr:uid="{00000000-0005-0000-0000-0000BB010000}"/>
    <cellStyle name="Обычный 2 4 2 3 2 2 4" xfId="2132" xr:uid="{00000000-0005-0000-0000-0000BC010000}"/>
    <cellStyle name="Обычный 2 4 2 3 2 3" xfId="792" xr:uid="{00000000-0005-0000-0000-0000BD010000}"/>
    <cellStyle name="Обычный 2 4 2 3 2 3 2" xfId="2406" xr:uid="{00000000-0005-0000-0000-0000BE010000}"/>
    <cellStyle name="Обычный 2 4 2 3 2 4" xfId="1328" xr:uid="{00000000-0005-0000-0000-0000BF010000}"/>
    <cellStyle name="Обычный 2 4 2 3 2 4 2" xfId="2942" xr:uid="{00000000-0005-0000-0000-0000C0010000}"/>
    <cellStyle name="Обычный 2 4 2 3 2 5" xfId="1864" xr:uid="{00000000-0005-0000-0000-0000C1010000}"/>
    <cellStyle name="Обычный 2 4 2 3 3" xfId="385" xr:uid="{00000000-0005-0000-0000-0000C2010000}"/>
    <cellStyle name="Обычный 2 4 2 3 3 2" xfId="928" xr:uid="{00000000-0005-0000-0000-0000C3010000}"/>
    <cellStyle name="Обычный 2 4 2 3 3 2 2" xfId="2542" xr:uid="{00000000-0005-0000-0000-0000C4010000}"/>
    <cellStyle name="Обычный 2 4 2 3 3 3" xfId="1464" xr:uid="{00000000-0005-0000-0000-0000C5010000}"/>
    <cellStyle name="Обычный 2 4 2 3 3 3 2" xfId="3078" xr:uid="{00000000-0005-0000-0000-0000C6010000}"/>
    <cellStyle name="Обычный 2 4 2 3 3 4" xfId="2000" xr:uid="{00000000-0005-0000-0000-0000C7010000}"/>
    <cellStyle name="Обычный 2 4 2 3 4" xfId="659" xr:uid="{00000000-0005-0000-0000-0000C8010000}"/>
    <cellStyle name="Обычный 2 4 2 3 4 2" xfId="2273" xr:uid="{00000000-0005-0000-0000-0000C9010000}"/>
    <cellStyle name="Обычный 2 4 2 3 5" xfId="1196" xr:uid="{00000000-0005-0000-0000-0000CA010000}"/>
    <cellStyle name="Обычный 2 4 2 3 5 2" xfId="2810" xr:uid="{00000000-0005-0000-0000-0000CB010000}"/>
    <cellStyle name="Обычный 2 4 2 3 6" xfId="1732" xr:uid="{00000000-0005-0000-0000-0000CC010000}"/>
    <cellStyle name="Обычный 2 4 2 4" xfId="203" xr:uid="{00000000-0005-0000-0000-0000CD010000}"/>
    <cellStyle name="Обычный 2 4 2 4 2" xfId="473" xr:uid="{00000000-0005-0000-0000-0000CE010000}"/>
    <cellStyle name="Обычный 2 4 2 4 2 2" xfId="1016" xr:uid="{00000000-0005-0000-0000-0000CF010000}"/>
    <cellStyle name="Обычный 2 4 2 4 2 2 2" xfId="2630" xr:uid="{00000000-0005-0000-0000-0000D0010000}"/>
    <cellStyle name="Обычный 2 4 2 4 2 3" xfId="1552" xr:uid="{00000000-0005-0000-0000-0000D1010000}"/>
    <cellStyle name="Обычный 2 4 2 4 2 3 2" xfId="3166" xr:uid="{00000000-0005-0000-0000-0000D2010000}"/>
    <cellStyle name="Обычный 2 4 2 4 2 4" xfId="2088" xr:uid="{00000000-0005-0000-0000-0000D3010000}"/>
    <cellStyle name="Обычный 2 4 2 4 3" xfId="748" xr:uid="{00000000-0005-0000-0000-0000D4010000}"/>
    <cellStyle name="Обычный 2 4 2 4 3 2" xfId="2362" xr:uid="{00000000-0005-0000-0000-0000D5010000}"/>
    <cellStyle name="Обычный 2 4 2 4 4" xfId="1284" xr:uid="{00000000-0005-0000-0000-0000D6010000}"/>
    <cellStyle name="Обычный 2 4 2 4 4 2" xfId="2898" xr:uid="{00000000-0005-0000-0000-0000D7010000}"/>
    <cellStyle name="Обычный 2 4 2 4 5" xfId="1820" xr:uid="{00000000-0005-0000-0000-0000D8010000}"/>
    <cellStyle name="Обычный 2 4 2 5" xfId="341" xr:uid="{00000000-0005-0000-0000-0000D9010000}"/>
    <cellStyle name="Обычный 2 4 2 5 2" xfId="884" xr:uid="{00000000-0005-0000-0000-0000DA010000}"/>
    <cellStyle name="Обычный 2 4 2 5 2 2" xfId="2498" xr:uid="{00000000-0005-0000-0000-0000DB010000}"/>
    <cellStyle name="Обычный 2 4 2 5 3" xfId="1420" xr:uid="{00000000-0005-0000-0000-0000DC010000}"/>
    <cellStyle name="Обычный 2 4 2 5 3 2" xfId="3034" xr:uid="{00000000-0005-0000-0000-0000DD010000}"/>
    <cellStyle name="Обычный 2 4 2 5 4" xfId="1956" xr:uid="{00000000-0005-0000-0000-0000DE010000}"/>
    <cellStyle name="Обычный 2 4 2 6" xfId="614" xr:uid="{00000000-0005-0000-0000-0000DF010000}"/>
    <cellStyle name="Обычный 2 4 2 6 2" xfId="2228" xr:uid="{00000000-0005-0000-0000-0000E0010000}"/>
    <cellStyle name="Обычный 2 4 2 7" xfId="1152" xr:uid="{00000000-0005-0000-0000-0000E1010000}"/>
    <cellStyle name="Обычный 2 4 2 7 2" xfId="2766" xr:uid="{00000000-0005-0000-0000-0000E2010000}"/>
    <cellStyle name="Обычный 2 4 2 8" xfId="1688" xr:uid="{00000000-0005-0000-0000-0000E3010000}"/>
    <cellStyle name="Обычный 2 4 3" xfId="136" xr:uid="{00000000-0005-0000-0000-0000E4010000}"/>
    <cellStyle name="Обычный 2 4 3 2" xfId="275" xr:uid="{00000000-0005-0000-0000-0000E5010000}"/>
    <cellStyle name="Обычный 2 4 3 2 2" xfId="543" xr:uid="{00000000-0005-0000-0000-0000E6010000}"/>
    <cellStyle name="Обычный 2 4 3 2 2 2" xfId="1086" xr:uid="{00000000-0005-0000-0000-0000E7010000}"/>
    <cellStyle name="Обычный 2 4 3 2 2 2 2" xfId="2700" xr:uid="{00000000-0005-0000-0000-0000E8010000}"/>
    <cellStyle name="Обычный 2 4 3 2 2 3" xfId="1622" xr:uid="{00000000-0005-0000-0000-0000E9010000}"/>
    <cellStyle name="Обычный 2 4 3 2 2 3 2" xfId="3236" xr:uid="{00000000-0005-0000-0000-0000EA010000}"/>
    <cellStyle name="Обычный 2 4 3 2 2 4" xfId="2158" xr:uid="{00000000-0005-0000-0000-0000EB010000}"/>
    <cellStyle name="Обычный 2 4 3 2 3" xfId="818" xr:uid="{00000000-0005-0000-0000-0000EC010000}"/>
    <cellStyle name="Обычный 2 4 3 2 3 2" xfId="2432" xr:uid="{00000000-0005-0000-0000-0000ED010000}"/>
    <cellStyle name="Обычный 2 4 3 2 4" xfId="1354" xr:uid="{00000000-0005-0000-0000-0000EE010000}"/>
    <cellStyle name="Обычный 2 4 3 2 4 2" xfId="2968" xr:uid="{00000000-0005-0000-0000-0000EF010000}"/>
    <cellStyle name="Обычный 2 4 3 2 5" xfId="1890" xr:uid="{00000000-0005-0000-0000-0000F0010000}"/>
    <cellStyle name="Обычный 2 4 3 3" xfId="411" xr:uid="{00000000-0005-0000-0000-0000F1010000}"/>
    <cellStyle name="Обычный 2 4 3 3 2" xfId="954" xr:uid="{00000000-0005-0000-0000-0000F2010000}"/>
    <cellStyle name="Обычный 2 4 3 3 2 2" xfId="2568" xr:uid="{00000000-0005-0000-0000-0000F3010000}"/>
    <cellStyle name="Обычный 2 4 3 3 3" xfId="1490" xr:uid="{00000000-0005-0000-0000-0000F4010000}"/>
    <cellStyle name="Обычный 2 4 3 3 3 2" xfId="3104" xr:uid="{00000000-0005-0000-0000-0000F5010000}"/>
    <cellStyle name="Обычный 2 4 3 3 4" xfId="2026" xr:uid="{00000000-0005-0000-0000-0000F6010000}"/>
    <cellStyle name="Обычный 2 4 3 4" xfId="686" xr:uid="{00000000-0005-0000-0000-0000F7010000}"/>
    <cellStyle name="Обычный 2 4 3 4 2" xfId="2300" xr:uid="{00000000-0005-0000-0000-0000F8010000}"/>
    <cellStyle name="Обычный 2 4 3 5" xfId="1222" xr:uid="{00000000-0005-0000-0000-0000F9010000}"/>
    <cellStyle name="Обычный 2 4 3 5 2" xfId="2836" xr:uid="{00000000-0005-0000-0000-0000FA010000}"/>
    <cellStyle name="Обычный 2 4 3 6" xfId="1758" xr:uid="{00000000-0005-0000-0000-0000FB010000}"/>
    <cellStyle name="Обычный 2 4 4" xfId="88" xr:uid="{00000000-0005-0000-0000-0000FC010000}"/>
    <cellStyle name="Обычный 2 4 4 2" xfId="230" xr:uid="{00000000-0005-0000-0000-0000FD010000}"/>
    <cellStyle name="Обычный 2 4 4 2 2" xfId="499" xr:uid="{00000000-0005-0000-0000-0000FE010000}"/>
    <cellStyle name="Обычный 2 4 4 2 2 2" xfId="1042" xr:uid="{00000000-0005-0000-0000-0000FF010000}"/>
    <cellStyle name="Обычный 2 4 4 2 2 2 2" xfId="2656" xr:uid="{00000000-0005-0000-0000-000000020000}"/>
    <cellStyle name="Обычный 2 4 4 2 2 3" xfId="1578" xr:uid="{00000000-0005-0000-0000-000001020000}"/>
    <cellStyle name="Обычный 2 4 4 2 2 3 2" xfId="3192" xr:uid="{00000000-0005-0000-0000-000002020000}"/>
    <cellStyle name="Обычный 2 4 4 2 2 4" xfId="2114" xr:uid="{00000000-0005-0000-0000-000003020000}"/>
    <cellStyle name="Обычный 2 4 4 2 3" xfId="774" xr:uid="{00000000-0005-0000-0000-000004020000}"/>
    <cellStyle name="Обычный 2 4 4 2 3 2" xfId="2388" xr:uid="{00000000-0005-0000-0000-000005020000}"/>
    <cellStyle name="Обычный 2 4 4 2 4" xfId="1310" xr:uid="{00000000-0005-0000-0000-000006020000}"/>
    <cellStyle name="Обычный 2 4 4 2 4 2" xfId="2924" xr:uid="{00000000-0005-0000-0000-000007020000}"/>
    <cellStyle name="Обычный 2 4 4 2 5" xfId="1846" xr:uid="{00000000-0005-0000-0000-000008020000}"/>
    <cellStyle name="Обычный 2 4 4 3" xfId="367" xr:uid="{00000000-0005-0000-0000-000009020000}"/>
    <cellStyle name="Обычный 2 4 4 3 2" xfId="910" xr:uid="{00000000-0005-0000-0000-00000A020000}"/>
    <cellStyle name="Обычный 2 4 4 3 2 2" xfId="2524" xr:uid="{00000000-0005-0000-0000-00000B020000}"/>
    <cellStyle name="Обычный 2 4 4 3 3" xfId="1446" xr:uid="{00000000-0005-0000-0000-00000C020000}"/>
    <cellStyle name="Обычный 2 4 4 3 3 2" xfId="3060" xr:uid="{00000000-0005-0000-0000-00000D020000}"/>
    <cellStyle name="Обычный 2 4 4 3 4" xfId="1982" xr:uid="{00000000-0005-0000-0000-00000E020000}"/>
    <cellStyle name="Обычный 2 4 4 4" xfId="641" xr:uid="{00000000-0005-0000-0000-00000F020000}"/>
    <cellStyle name="Обычный 2 4 4 4 2" xfId="2255" xr:uid="{00000000-0005-0000-0000-000010020000}"/>
    <cellStyle name="Обычный 2 4 4 5" xfId="1178" xr:uid="{00000000-0005-0000-0000-000011020000}"/>
    <cellStyle name="Обычный 2 4 4 5 2" xfId="2792" xr:uid="{00000000-0005-0000-0000-000012020000}"/>
    <cellStyle name="Обычный 2 4 4 6" xfId="1714" xr:uid="{00000000-0005-0000-0000-000013020000}"/>
    <cellStyle name="Обычный 2 4 5" xfId="185" xr:uid="{00000000-0005-0000-0000-000014020000}"/>
    <cellStyle name="Обычный 2 4 5 2" xfId="455" xr:uid="{00000000-0005-0000-0000-000015020000}"/>
    <cellStyle name="Обычный 2 4 5 2 2" xfId="998" xr:uid="{00000000-0005-0000-0000-000016020000}"/>
    <cellStyle name="Обычный 2 4 5 2 2 2" xfId="2612" xr:uid="{00000000-0005-0000-0000-000017020000}"/>
    <cellStyle name="Обычный 2 4 5 2 3" xfId="1534" xr:uid="{00000000-0005-0000-0000-000018020000}"/>
    <cellStyle name="Обычный 2 4 5 2 3 2" xfId="3148" xr:uid="{00000000-0005-0000-0000-000019020000}"/>
    <cellStyle name="Обычный 2 4 5 2 4" xfId="2070" xr:uid="{00000000-0005-0000-0000-00001A020000}"/>
    <cellStyle name="Обычный 2 4 5 3" xfId="730" xr:uid="{00000000-0005-0000-0000-00001B020000}"/>
    <cellStyle name="Обычный 2 4 5 3 2" xfId="2344" xr:uid="{00000000-0005-0000-0000-00001C020000}"/>
    <cellStyle name="Обычный 2 4 5 4" xfId="1266" xr:uid="{00000000-0005-0000-0000-00001D020000}"/>
    <cellStyle name="Обычный 2 4 5 4 2" xfId="2880" xr:uid="{00000000-0005-0000-0000-00001E020000}"/>
    <cellStyle name="Обычный 2 4 5 5" xfId="1802" xr:uid="{00000000-0005-0000-0000-00001F020000}"/>
    <cellStyle name="Обычный 2 4 6" xfId="323" xr:uid="{00000000-0005-0000-0000-000020020000}"/>
    <cellStyle name="Обычный 2 4 6 2" xfId="866" xr:uid="{00000000-0005-0000-0000-000021020000}"/>
    <cellStyle name="Обычный 2 4 6 2 2" xfId="2480" xr:uid="{00000000-0005-0000-0000-000022020000}"/>
    <cellStyle name="Обычный 2 4 6 3" xfId="1402" xr:uid="{00000000-0005-0000-0000-000023020000}"/>
    <cellStyle name="Обычный 2 4 6 3 2" xfId="3016" xr:uid="{00000000-0005-0000-0000-000024020000}"/>
    <cellStyle name="Обычный 2 4 6 4" xfId="1938" xr:uid="{00000000-0005-0000-0000-000025020000}"/>
    <cellStyle name="Обычный 2 4 7" xfId="596" xr:uid="{00000000-0005-0000-0000-000026020000}"/>
    <cellStyle name="Обычный 2 4 7 2" xfId="2210" xr:uid="{00000000-0005-0000-0000-000027020000}"/>
    <cellStyle name="Обычный 2 4 8" xfId="1134" xr:uid="{00000000-0005-0000-0000-000028020000}"/>
    <cellStyle name="Обычный 2 4 8 2" xfId="2748" xr:uid="{00000000-0005-0000-0000-000029020000}"/>
    <cellStyle name="Обычный 2 4 9" xfId="1670" xr:uid="{00000000-0005-0000-0000-00002A020000}"/>
    <cellStyle name="Обычный 2 5" xfId="30" xr:uid="{00000000-0005-0000-0000-00002B020000}"/>
    <cellStyle name="Обычный 2 5 2" xfId="125" xr:uid="{00000000-0005-0000-0000-00002C020000}"/>
    <cellStyle name="Обычный 2 5 2 2" xfId="266" xr:uid="{00000000-0005-0000-0000-00002D020000}"/>
    <cellStyle name="Обычный 2 5 2 2 2" xfId="535" xr:uid="{00000000-0005-0000-0000-00002E020000}"/>
    <cellStyle name="Обычный 2 5 2 2 2 2" xfId="1078" xr:uid="{00000000-0005-0000-0000-00002F020000}"/>
    <cellStyle name="Обычный 2 5 2 2 2 2 2" xfId="2692" xr:uid="{00000000-0005-0000-0000-000030020000}"/>
    <cellStyle name="Обычный 2 5 2 2 2 3" xfId="1614" xr:uid="{00000000-0005-0000-0000-000031020000}"/>
    <cellStyle name="Обычный 2 5 2 2 2 3 2" xfId="3228" xr:uid="{00000000-0005-0000-0000-000032020000}"/>
    <cellStyle name="Обычный 2 5 2 2 2 4" xfId="2150" xr:uid="{00000000-0005-0000-0000-000033020000}"/>
    <cellStyle name="Обычный 2 5 2 2 3" xfId="810" xr:uid="{00000000-0005-0000-0000-000034020000}"/>
    <cellStyle name="Обычный 2 5 2 2 3 2" xfId="2424" xr:uid="{00000000-0005-0000-0000-000035020000}"/>
    <cellStyle name="Обычный 2 5 2 2 4" xfId="1346" xr:uid="{00000000-0005-0000-0000-000036020000}"/>
    <cellStyle name="Обычный 2 5 2 2 4 2" xfId="2960" xr:uid="{00000000-0005-0000-0000-000037020000}"/>
    <cellStyle name="Обычный 2 5 2 2 5" xfId="1882" xr:uid="{00000000-0005-0000-0000-000038020000}"/>
    <cellStyle name="Обычный 2 5 2 3" xfId="403" xr:uid="{00000000-0005-0000-0000-000039020000}"/>
    <cellStyle name="Обычный 2 5 2 3 2" xfId="946" xr:uid="{00000000-0005-0000-0000-00003A020000}"/>
    <cellStyle name="Обычный 2 5 2 3 2 2" xfId="2560" xr:uid="{00000000-0005-0000-0000-00003B020000}"/>
    <cellStyle name="Обычный 2 5 2 3 3" xfId="1482" xr:uid="{00000000-0005-0000-0000-00003C020000}"/>
    <cellStyle name="Обычный 2 5 2 3 3 2" xfId="3096" xr:uid="{00000000-0005-0000-0000-00003D020000}"/>
    <cellStyle name="Обычный 2 5 2 3 4" xfId="2018" xr:uid="{00000000-0005-0000-0000-00003E020000}"/>
    <cellStyle name="Обычный 2 5 2 4" xfId="677" xr:uid="{00000000-0005-0000-0000-00003F020000}"/>
    <cellStyle name="Обычный 2 5 2 4 2" xfId="2291" xr:uid="{00000000-0005-0000-0000-000040020000}"/>
    <cellStyle name="Обычный 2 5 2 5" xfId="1214" xr:uid="{00000000-0005-0000-0000-000041020000}"/>
    <cellStyle name="Обычный 2 5 2 5 2" xfId="2828" xr:uid="{00000000-0005-0000-0000-000042020000}"/>
    <cellStyle name="Обычный 2 5 2 6" xfId="1750" xr:uid="{00000000-0005-0000-0000-000043020000}"/>
    <cellStyle name="Обычный 2 5 3" xfId="77" xr:uid="{00000000-0005-0000-0000-000044020000}"/>
    <cellStyle name="Обычный 2 5 3 2" xfId="221" xr:uid="{00000000-0005-0000-0000-000045020000}"/>
    <cellStyle name="Обычный 2 5 3 2 2" xfId="491" xr:uid="{00000000-0005-0000-0000-000046020000}"/>
    <cellStyle name="Обычный 2 5 3 2 2 2" xfId="1034" xr:uid="{00000000-0005-0000-0000-000047020000}"/>
    <cellStyle name="Обычный 2 5 3 2 2 2 2" xfId="2648" xr:uid="{00000000-0005-0000-0000-000048020000}"/>
    <cellStyle name="Обычный 2 5 3 2 2 3" xfId="1570" xr:uid="{00000000-0005-0000-0000-000049020000}"/>
    <cellStyle name="Обычный 2 5 3 2 2 3 2" xfId="3184" xr:uid="{00000000-0005-0000-0000-00004A020000}"/>
    <cellStyle name="Обычный 2 5 3 2 2 4" xfId="2106" xr:uid="{00000000-0005-0000-0000-00004B020000}"/>
    <cellStyle name="Обычный 2 5 3 2 3" xfId="766" xr:uid="{00000000-0005-0000-0000-00004C020000}"/>
    <cellStyle name="Обычный 2 5 3 2 3 2" xfId="2380" xr:uid="{00000000-0005-0000-0000-00004D020000}"/>
    <cellStyle name="Обычный 2 5 3 2 4" xfId="1302" xr:uid="{00000000-0005-0000-0000-00004E020000}"/>
    <cellStyle name="Обычный 2 5 3 2 4 2" xfId="2916" xr:uid="{00000000-0005-0000-0000-00004F020000}"/>
    <cellStyle name="Обычный 2 5 3 2 5" xfId="1838" xr:uid="{00000000-0005-0000-0000-000050020000}"/>
    <cellStyle name="Обычный 2 5 3 3" xfId="359" xr:uid="{00000000-0005-0000-0000-000051020000}"/>
    <cellStyle name="Обычный 2 5 3 3 2" xfId="902" xr:uid="{00000000-0005-0000-0000-000052020000}"/>
    <cellStyle name="Обычный 2 5 3 3 2 2" xfId="2516" xr:uid="{00000000-0005-0000-0000-000053020000}"/>
    <cellStyle name="Обычный 2 5 3 3 3" xfId="1438" xr:uid="{00000000-0005-0000-0000-000054020000}"/>
    <cellStyle name="Обычный 2 5 3 3 3 2" xfId="3052" xr:uid="{00000000-0005-0000-0000-000055020000}"/>
    <cellStyle name="Обычный 2 5 3 3 4" xfId="1974" xr:uid="{00000000-0005-0000-0000-000056020000}"/>
    <cellStyle name="Обычный 2 5 3 4" xfId="632" xr:uid="{00000000-0005-0000-0000-000057020000}"/>
    <cellStyle name="Обычный 2 5 3 4 2" xfId="2246" xr:uid="{00000000-0005-0000-0000-000058020000}"/>
    <cellStyle name="Обычный 2 5 3 5" xfId="1170" xr:uid="{00000000-0005-0000-0000-000059020000}"/>
    <cellStyle name="Обычный 2 5 3 5 2" xfId="2784" xr:uid="{00000000-0005-0000-0000-00005A020000}"/>
    <cellStyle name="Обычный 2 5 3 6" xfId="1706" xr:uid="{00000000-0005-0000-0000-00005B020000}"/>
    <cellStyle name="Обычный 2 5 4" xfId="176" xr:uid="{00000000-0005-0000-0000-00005C020000}"/>
    <cellStyle name="Обычный 2 5 4 2" xfId="447" xr:uid="{00000000-0005-0000-0000-00005D020000}"/>
    <cellStyle name="Обычный 2 5 4 2 2" xfId="990" xr:uid="{00000000-0005-0000-0000-00005E020000}"/>
    <cellStyle name="Обычный 2 5 4 2 2 2" xfId="2604" xr:uid="{00000000-0005-0000-0000-00005F020000}"/>
    <cellStyle name="Обычный 2 5 4 2 3" xfId="1526" xr:uid="{00000000-0005-0000-0000-000060020000}"/>
    <cellStyle name="Обычный 2 5 4 2 3 2" xfId="3140" xr:uid="{00000000-0005-0000-0000-000061020000}"/>
    <cellStyle name="Обычный 2 5 4 2 4" xfId="2062" xr:uid="{00000000-0005-0000-0000-000062020000}"/>
    <cellStyle name="Обычный 2 5 4 3" xfId="722" xr:uid="{00000000-0005-0000-0000-000063020000}"/>
    <cellStyle name="Обычный 2 5 4 3 2" xfId="2336" xr:uid="{00000000-0005-0000-0000-000064020000}"/>
    <cellStyle name="Обычный 2 5 4 4" xfId="1258" xr:uid="{00000000-0005-0000-0000-000065020000}"/>
    <cellStyle name="Обычный 2 5 4 4 2" xfId="2872" xr:uid="{00000000-0005-0000-0000-000066020000}"/>
    <cellStyle name="Обычный 2 5 4 5" xfId="1794" xr:uid="{00000000-0005-0000-0000-000067020000}"/>
    <cellStyle name="Обычный 2 5 5" xfId="315" xr:uid="{00000000-0005-0000-0000-000068020000}"/>
    <cellStyle name="Обычный 2 5 5 2" xfId="858" xr:uid="{00000000-0005-0000-0000-000069020000}"/>
    <cellStyle name="Обычный 2 5 5 2 2" xfId="2472" xr:uid="{00000000-0005-0000-0000-00006A020000}"/>
    <cellStyle name="Обычный 2 5 5 3" xfId="1394" xr:uid="{00000000-0005-0000-0000-00006B020000}"/>
    <cellStyle name="Обычный 2 5 5 3 2" xfId="3008" xr:uid="{00000000-0005-0000-0000-00006C020000}"/>
    <cellStyle name="Обычный 2 5 5 4" xfId="1930" xr:uid="{00000000-0005-0000-0000-00006D020000}"/>
    <cellStyle name="Обычный 2 5 6" xfId="587" xr:uid="{00000000-0005-0000-0000-00006E020000}"/>
    <cellStyle name="Обычный 2 5 6 2" xfId="2201" xr:uid="{00000000-0005-0000-0000-00006F020000}"/>
    <cellStyle name="Обычный 2 5 7" xfId="1126" xr:uid="{00000000-0005-0000-0000-000070020000}"/>
    <cellStyle name="Обычный 2 5 7 2" xfId="2740" xr:uid="{00000000-0005-0000-0000-000071020000}"/>
    <cellStyle name="Обычный 2 5 8" xfId="1662" xr:uid="{00000000-0005-0000-0000-000072020000}"/>
    <cellStyle name="Обычный 2 6" xfId="50" xr:uid="{00000000-0005-0000-0000-000073020000}"/>
    <cellStyle name="Обычный 2 6 2" xfId="145" xr:uid="{00000000-0005-0000-0000-000074020000}"/>
    <cellStyle name="Обычный 2 6 2 2" xfId="284" xr:uid="{00000000-0005-0000-0000-000075020000}"/>
    <cellStyle name="Обычный 2 6 2 2 2" xfId="552" xr:uid="{00000000-0005-0000-0000-000076020000}"/>
    <cellStyle name="Обычный 2 6 2 2 2 2" xfId="1095" xr:uid="{00000000-0005-0000-0000-000077020000}"/>
    <cellStyle name="Обычный 2 6 2 2 2 2 2" xfId="2709" xr:uid="{00000000-0005-0000-0000-000078020000}"/>
    <cellStyle name="Обычный 2 6 2 2 2 3" xfId="1631" xr:uid="{00000000-0005-0000-0000-000079020000}"/>
    <cellStyle name="Обычный 2 6 2 2 2 3 2" xfId="3245" xr:uid="{00000000-0005-0000-0000-00007A020000}"/>
    <cellStyle name="Обычный 2 6 2 2 2 4" xfId="2167" xr:uid="{00000000-0005-0000-0000-00007B020000}"/>
    <cellStyle name="Обычный 2 6 2 2 3" xfId="827" xr:uid="{00000000-0005-0000-0000-00007C020000}"/>
    <cellStyle name="Обычный 2 6 2 2 3 2" xfId="2441" xr:uid="{00000000-0005-0000-0000-00007D020000}"/>
    <cellStyle name="Обычный 2 6 2 2 4" xfId="1363" xr:uid="{00000000-0005-0000-0000-00007E020000}"/>
    <cellStyle name="Обычный 2 6 2 2 4 2" xfId="2977" xr:uid="{00000000-0005-0000-0000-00007F020000}"/>
    <cellStyle name="Обычный 2 6 2 2 5" xfId="1899" xr:uid="{00000000-0005-0000-0000-000080020000}"/>
    <cellStyle name="Обычный 2 6 2 3" xfId="420" xr:uid="{00000000-0005-0000-0000-000081020000}"/>
    <cellStyle name="Обычный 2 6 2 3 2" xfId="963" xr:uid="{00000000-0005-0000-0000-000082020000}"/>
    <cellStyle name="Обычный 2 6 2 3 2 2" xfId="2577" xr:uid="{00000000-0005-0000-0000-000083020000}"/>
    <cellStyle name="Обычный 2 6 2 3 3" xfId="1499" xr:uid="{00000000-0005-0000-0000-000084020000}"/>
    <cellStyle name="Обычный 2 6 2 3 3 2" xfId="3113" xr:uid="{00000000-0005-0000-0000-000085020000}"/>
    <cellStyle name="Обычный 2 6 2 3 4" xfId="2035" xr:uid="{00000000-0005-0000-0000-000086020000}"/>
    <cellStyle name="Обычный 2 6 2 4" xfId="695" xr:uid="{00000000-0005-0000-0000-000087020000}"/>
    <cellStyle name="Обычный 2 6 2 4 2" xfId="2309" xr:uid="{00000000-0005-0000-0000-000088020000}"/>
    <cellStyle name="Обычный 2 6 2 5" xfId="1231" xr:uid="{00000000-0005-0000-0000-000089020000}"/>
    <cellStyle name="Обычный 2 6 2 5 2" xfId="2845" xr:uid="{00000000-0005-0000-0000-00008A020000}"/>
    <cellStyle name="Обычный 2 6 2 6" xfId="1767" xr:uid="{00000000-0005-0000-0000-00008B020000}"/>
    <cellStyle name="Обычный 2 6 3" xfId="97" xr:uid="{00000000-0005-0000-0000-00008C020000}"/>
    <cellStyle name="Обычный 2 6 3 2" xfId="239" xr:uid="{00000000-0005-0000-0000-00008D020000}"/>
    <cellStyle name="Обычный 2 6 3 2 2" xfId="508" xr:uid="{00000000-0005-0000-0000-00008E020000}"/>
    <cellStyle name="Обычный 2 6 3 2 2 2" xfId="1051" xr:uid="{00000000-0005-0000-0000-00008F020000}"/>
    <cellStyle name="Обычный 2 6 3 2 2 2 2" xfId="2665" xr:uid="{00000000-0005-0000-0000-000090020000}"/>
    <cellStyle name="Обычный 2 6 3 2 2 3" xfId="1587" xr:uid="{00000000-0005-0000-0000-000091020000}"/>
    <cellStyle name="Обычный 2 6 3 2 2 3 2" xfId="3201" xr:uid="{00000000-0005-0000-0000-000092020000}"/>
    <cellStyle name="Обычный 2 6 3 2 2 4" xfId="2123" xr:uid="{00000000-0005-0000-0000-000093020000}"/>
    <cellStyle name="Обычный 2 6 3 2 3" xfId="783" xr:uid="{00000000-0005-0000-0000-000094020000}"/>
    <cellStyle name="Обычный 2 6 3 2 3 2" xfId="2397" xr:uid="{00000000-0005-0000-0000-000095020000}"/>
    <cellStyle name="Обычный 2 6 3 2 4" xfId="1319" xr:uid="{00000000-0005-0000-0000-000096020000}"/>
    <cellStyle name="Обычный 2 6 3 2 4 2" xfId="2933" xr:uid="{00000000-0005-0000-0000-000097020000}"/>
    <cellStyle name="Обычный 2 6 3 2 5" xfId="1855" xr:uid="{00000000-0005-0000-0000-000098020000}"/>
    <cellStyle name="Обычный 2 6 3 3" xfId="376" xr:uid="{00000000-0005-0000-0000-000099020000}"/>
    <cellStyle name="Обычный 2 6 3 3 2" xfId="919" xr:uid="{00000000-0005-0000-0000-00009A020000}"/>
    <cellStyle name="Обычный 2 6 3 3 2 2" xfId="2533" xr:uid="{00000000-0005-0000-0000-00009B020000}"/>
    <cellStyle name="Обычный 2 6 3 3 3" xfId="1455" xr:uid="{00000000-0005-0000-0000-00009C020000}"/>
    <cellStyle name="Обычный 2 6 3 3 3 2" xfId="3069" xr:uid="{00000000-0005-0000-0000-00009D020000}"/>
    <cellStyle name="Обычный 2 6 3 3 4" xfId="1991" xr:uid="{00000000-0005-0000-0000-00009E020000}"/>
    <cellStyle name="Обычный 2 6 3 4" xfId="650" xr:uid="{00000000-0005-0000-0000-00009F020000}"/>
    <cellStyle name="Обычный 2 6 3 4 2" xfId="2264" xr:uid="{00000000-0005-0000-0000-0000A0020000}"/>
    <cellStyle name="Обычный 2 6 3 5" xfId="1187" xr:uid="{00000000-0005-0000-0000-0000A1020000}"/>
    <cellStyle name="Обычный 2 6 3 5 2" xfId="2801" xr:uid="{00000000-0005-0000-0000-0000A2020000}"/>
    <cellStyle name="Обычный 2 6 3 6" xfId="1723" xr:uid="{00000000-0005-0000-0000-0000A3020000}"/>
    <cellStyle name="Обычный 2 6 4" xfId="194" xr:uid="{00000000-0005-0000-0000-0000A4020000}"/>
    <cellStyle name="Обычный 2 6 4 2" xfId="464" xr:uid="{00000000-0005-0000-0000-0000A5020000}"/>
    <cellStyle name="Обычный 2 6 4 2 2" xfId="1007" xr:uid="{00000000-0005-0000-0000-0000A6020000}"/>
    <cellStyle name="Обычный 2 6 4 2 2 2" xfId="2621" xr:uid="{00000000-0005-0000-0000-0000A7020000}"/>
    <cellStyle name="Обычный 2 6 4 2 3" xfId="1543" xr:uid="{00000000-0005-0000-0000-0000A8020000}"/>
    <cellStyle name="Обычный 2 6 4 2 3 2" xfId="3157" xr:uid="{00000000-0005-0000-0000-0000A9020000}"/>
    <cellStyle name="Обычный 2 6 4 2 4" xfId="2079" xr:uid="{00000000-0005-0000-0000-0000AA020000}"/>
    <cellStyle name="Обычный 2 6 4 3" xfId="739" xr:uid="{00000000-0005-0000-0000-0000AB020000}"/>
    <cellStyle name="Обычный 2 6 4 3 2" xfId="2353" xr:uid="{00000000-0005-0000-0000-0000AC020000}"/>
    <cellStyle name="Обычный 2 6 4 4" xfId="1275" xr:uid="{00000000-0005-0000-0000-0000AD020000}"/>
    <cellStyle name="Обычный 2 6 4 4 2" xfId="2889" xr:uid="{00000000-0005-0000-0000-0000AE020000}"/>
    <cellStyle name="Обычный 2 6 4 5" xfId="1811" xr:uid="{00000000-0005-0000-0000-0000AF020000}"/>
    <cellStyle name="Обычный 2 6 5" xfId="332" xr:uid="{00000000-0005-0000-0000-0000B0020000}"/>
    <cellStyle name="Обычный 2 6 5 2" xfId="875" xr:uid="{00000000-0005-0000-0000-0000B1020000}"/>
    <cellStyle name="Обычный 2 6 5 2 2" xfId="2489" xr:uid="{00000000-0005-0000-0000-0000B2020000}"/>
    <cellStyle name="Обычный 2 6 5 3" xfId="1411" xr:uid="{00000000-0005-0000-0000-0000B3020000}"/>
    <cellStyle name="Обычный 2 6 5 3 2" xfId="3025" xr:uid="{00000000-0005-0000-0000-0000B4020000}"/>
    <cellStyle name="Обычный 2 6 5 4" xfId="1947" xr:uid="{00000000-0005-0000-0000-0000B5020000}"/>
    <cellStyle name="Обычный 2 6 6" xfId="605" xr:uid="{00000000-0005-0000-0000-0000B6020000}"/>
    <cellStyle name="Обычный 2 6 6 2" xfId="2219" xr:uid="{00000000-0005-0000-0000-0000B7020000}"/>
    <cellStyle name="Обычный 2 6 7" xfId="1143" xr:uid="{00000000-0005-0000-0000-0000B8020000}"/>
    <cellStyle name="Обычный 2 6 7 2" xfId="2757" xr:uid="{00000000-0005-0000-0000-0000B9020000}"/>
    <cellStyle name="Обычный 2 6 8" xfId="1679" xr:uid="{00000000-0005-0000-0000-0000BA020000}"/>
    <cellStyle name="Обычный 2 7" xfId="116" xr:uid="{00000000-0005-0000-0000-0000BB020000}"/>
    <cellStyle name="Обычный 2 7 2" xfId="257" xr:uid="{00000000-0005-0000-0000-0000BC020000}"/>
    <cellStyle name="Обычный 2 7 2 2" xfId="526" xr:uid="{00000000-0005-0000-0000-0000BD020000}"/>
    <cellStyle name="Обычный 2 7 2 2 2" xfId="1069" xr:uid="{00000000-0005-0000-0000-0000BE020000}"/>
    <cellStyle name="Обычный 2 7 2 2 2 2" xfId="2683" xr:uid="{00000000-0005-0000-0000-0000BF020000}"/>
    <cellStyle name="Обычный 2 7 2 2 3" xfId="1605" xr:uid="{00000000-0005-0000-0000-0000C0020000}"/>
    <cellStyle name="Обычный 2 7 2 2 3 2" xfId="3219" xr:uid="{00000000-0005-0000-0000-0000C1020000}"/>
    <cellStyle name="Обычный 2 7 2 2 4" xfId="2141" xr:uid="{00000000-0005-0000-0000-0000C2020000}"/>
    <cellStyle name="Обычный 2 7 2 3" xfId="801" xr:uid="{00000000-0005-0000-0000-0000C3020000}"/>
    <cellStyle name="Обычный 2 7 2 3 2" xfId="2415" xr:uid="{00000000-0005-0000-0000-0000C4020000}"/>
    <cellStyle name="Обычный 2 7 2 4" xfId="1337" xr:uid="{00000000-0005-0000-0000-0000C5020000}"/>
    <cellStyle name="Обычный 2 7 2 4 2" xfId="2951" xr:uid="{00000000-0005-0000-0000-0000C6020000}"/>
    <cellStyle name="Обычный 2 7 2 5" xfId="1873" xr:uid="{00000000-0005-0000-0000-0000C7020000}"/>
    <cellStyle name="Обычный 2 7 3" xfId="394" xr:uid="{00000000-0005-0000-0000-0000C8020000}"/>
    <cellStyle name="Обычный 2 7 3 2" xfId="937" xr:uid="{00000000-0005-0000-0000-0000C9020000}"/>
    <cellStyle name="Обычный 2 7 3 2 2" xfId="2551" xr:uid="{00000000-0005-0000-0000-0000CA020000}"/>
    <cellStyle name="Обычный 2 7 3 3" xfId="1473" xr:uid="{00000000-0005-0000-0000-0000CB020000}"/>
    <cellStyle name="Обычный 2 7 3 3 2" xfId="3087" xr:uid="{00000000-0005-0000-0000-0000CC020000}"/>
    <cellStyle name="Обычный 2 7 3 4" xfId="2009" xr:uid="{00000000-0005-0000-0000-0000CD020000}"/>
    <cellStyle name="Обычный 2 7 4" xfId="668" xr:uid="{00000000-0005-0000-0000-0000CE020000}"/>
    <cellStyle name="Обычный 2 7 4 2" xfId="2282" xr:uid="{00000000-0005-0000-0000-0000CF020000}"/>
    <cellStyle name="Обычный 2 7 5" xfId="1205" xr:uid="{00000000-0005-0000-0000-0000D0020000}"/>
    <cellStyle name="Обычный 2 7 5 2" xfId="2819" xr:uid="{00000000-0005-0000-0000-0000D1020000}"/>
    <cellStyle name="Обычный 2 7 6" xfId="1741" xr:uid="{00000000-0005-0000-0000-0000D2020000}"/>
    <cellStyle name="Обычный 2 8" xfId="68" xr:uid="{00000000-0005-0000-0000-0000D3020000}"/>
    <cellStyle name="Обычный 2 8 2" xfId="212" xr:uid="{00000000-0005-0000-0000-0000D4020000}"/>
    <cellStyle name="Обычный 2 8 2 2" xfId="482" xr:uid="{00000000-0005-0000-0000-0000D5020000}"/>
    <cellStyle name="Обычный 2 8 2 2 2" xfId="1025" xr:uid="{00000000-0005-0000-0000-0000D6020000}"/>
    <cellStyle name="Обычный 2 8 2 2 2 2" xfId="2639" xr:uid="{00000000-0005-0000-0000-0000D7020000}"/>
    <cellStyle name="Обычный 2 8 2 2 3" xfId="1561" xr:uid="{00000000-0005-0000-0000-0000D8020000}"/>
    <cellStyle name="Обычный 2 8 2 2 3 2" xfId="3175" xr:uid="{00000000-0005-0000-0000-0000D9020000}"/>
    <cellStyle name="Обычный 2 8 2 2 4" xfId="2097" xr:uid="{00000000-0005-0000-0000-0000DA020000}"/>
    <cellStyle name="Обычный 2 8 2 3" xfId="757" xr:uid="{00000000-0005-0000-0000-0000DB020000}"/>
    <cellStyle name="Обычный 2 8 2 3 2" xfId="2371" xr:uid="{00000000-0005-0000-0000-0000DC020000}"/>
    <cellStyle name="Обычный 2 8 2 4" xfId="1293" xr:uid="{00000000-0005-0000-0000-0000DD020000}"/>
    <cellStyle name="Обычный 2 8 2 4 2" xfId="2907" xr:uid="{00000000-0005-0000-0000-0000DE020000}"/>
    <cellStyle name="Обычный 2 8 2 5" xfId="1829" xr:uid="{00000000-0005-0000-0000-0000DF020000}"/>
    <cellStyle name="Обычный 2 8 3" xfId="350" xr:uid="{00000000-0005-0000-0000-0000E0020000}"/>
    <cellStyle name="Обычный 2 8 3 2" xfId="893" xr:uid="{00000000-0005-0000-0000-0000E1020000}"/>
    <cellStyle name="Обычный 2 8 3 2 2" xfId="2507" xr:uid="{00000000-0005-0000-0000-0000E2020000}"/>
    <cellStyle name="Обычный 2 8 3 3" xfId="1429" xr:uid="{00000000-0005-0000-0000-0000E3020000}"/>
    <cellStyle name="Обычный 2 8 3 3 2" xfId="3043" xr:uid="{00000000-0005-0000-0000-0000E4020000}"/>
    <cellStyle name="Обычный 2 8 3 4" xfId="1965" xr:uid="{00000000-0005-0000-0000-0000E5020000}"/>
    <cellStyle name="Обычный 2 8 4" xfId="623" xr:uid="{00000000-0005-0000-0000-0000E6020000}"/>
    <cellStyle name="Обычный 2 8 4 2" xfId="2237" xr:uid="{00000000-0005-0000-0000-0000E7020000}"/>
    <cellStyle name="Обычный 2 8 5" xfId="1161" xr:uid="{00000000-0005-0000-0000-0000E8020000}"/>
    <cellStyle name="Обычный 2 8 5 2" xfId="2775" xr:uid="{00000000-0005-0000-0000-0000E9020000}"/>
    <cellStyle name="Обычный 2 8 6" xfId="1697" xr:uid="{00000000-0005-0000-0000-0000EA020000}"/>
    <cellStyle name="Обычный 2 9" xfId="164" xr:uid="{00000000-0005-0000-0000-0000EB020000}"/>
    <cellStyle name="Обычный 2 9 2" xfId="438" xr:uid="{00000000-0005-0000-0000-0000EC020000}"/>
    <cellStyle name="Обычный 2 9 2 2" xfId="981" xr:uid="{00000000-0005-0000-0000-0000ED020000}"/>
    <cellStyle name="Обычный 2 9 2 2 2" xfId="2595" xr:uid="{00000000-0005-0000-0000-0000EE020000}"/>
    <cellStyle name="Обычный 2 9 2 3" xfId="1517" xr:uid="{00000000-0005-0000-0000-0000EF020000}"/>
    <cellStyle name="Обычный 2 9 2 3 2" xfId="3131" xr:uid="{00000000-0005-0000-0000-0000F0020000}"/>
    <cellStyle name="Обычный 2 9 2 4" xfId="2053" xr:uid="{00000000-0005-0000-0000-0000F1020000}"/>
    <cellStyle name="Обычный 2 9 3" xfId="713" xr:uid="{00000000-0005-0000-0000-0000F2020000}"/>
    <cellStyle name="Обычный 2 9 3 2" xfId="2327" xr:uid="{00000000-0005-0000-0000-0000F3020000}"/>
    <cellStyle name="Обычный 2 9 4" xfId="1249" xr:uid="{00000000-0005-0000-0000-0000F4020000}"/>
    <cellStyle name="Обычный 2 9 4 2" xfId="2863" xr:uid="{00000000-0005-0000-0000-0000F5020000}"/>
    <cellStyle name="Обычный 2 9 5" xfId="1785" xr:uid="{00000000-0005-0000-0000-0000F6020000}"/>
    <cellStyle name="Обычный 3" xfId="17" xr:uid="{00000000-0005-0000-0000-0000F7020000}"/>
    <cellStyle name="Обычный 3 2" xfId="27" xr:uid="{00000000-0005-0000-0000-0000F8020000}"/>
    <cellStyle name="Обычный 3 3" xfId="34" xr:uid="{00000000-0005-0000-0000-0000F9020000}"/>
    <cellStyle name="Обычный 3 3 2" xfId="129" xr:uid="{00000000-0005-0000-0000-0000FA020000}"/>
    <cellStyle name="Обычный 3 3 3" xfId="81" xr:uid="{00000000-0005-0000-0000-0000FB020000}"/>
    <cellStyle name="Обычный 4" xfId="4" xr:uid="{00000000-0005-0000-0000-0000FC020000}"/>
    <cellStyle name="Обычный 4 2" xfId="5" xr:uid="{00000000-0005-0000-0000-0000FD020000}"/>
    <cellStyle name="Обычный 4 3" xfId="18" xr:uid="{00000000-0005-0000-0000-0000FE020000}"/>
    <cellStyle name="Обычный 5" xfId="12" xr:uid="{00000000-0005-0000-0000-0000FF020000}"/>
    <cellStyle name="Обычный 5 10" xfId="577" xr:uid="{00000000-0005-0000-0000-000000030000}"/>
    <cellStyle name="Обычный 5 10 2" xfId="2191" xr:uid="{00000000-0005-0000-0000-000001030000}"/>
    <cellStyle name="Обычный 5 11" xfId="1119" xr:uid="{00000000-0005-0000-0000-000002030000}"/>
    <cellStyle name="Обычный 5 11 2" xfId="2733" xr:uid="{00000000-0005-0000-0000-000003030000}"/>
    <cellStyle name="Обычный 5 12" xfId="1655" xr:uid="{00000000-0005-0000-0000-000004030000}"/>
    <cellStyle name="Обычный 5 2" xfId="25" xr:uid="{00000000-0005-0000-0000-000005030000}"/>
    <cellStyle name="Обычный 5 2 10" xfId="1124" xr:uid="{00000000-0005-0000-0000-000006030000}"/>
    <cellStyle name="Обычный 5 2 10 2" xfId="2738" xr:uid="{00000000-0005-0000-0000-000007030000}"/>
    <cellStyle name="Обычный 5 2 11" xfId="1660" xr:uid="{00000000-0005-0000-0000-000008030000}"/>
    <cellStyle name="Обычный 5 2 2" xfId="48" xr:uid="{00000000-0005-0000-0000-000009030000}"/>
    <cellStyle name="Обычный 5 2 2 2" xfId="66" xr:uid="{00000000-0005-0000-0000-00000A030000}"/>
    <cellStyle name="Обычный 5 2 2 2 2" xfId="161" xr:uid="{00000000-0005-0000-0000-00000B030000}"/>
    <cellStyle name="Обычный 5 2 2 2 2 2" xfId="300" xr:uid="{00000000-0005-0000-0000-00000C030000}"/>
    <cellStyle name="Обычный 5 2 2 2 2 2 2" xfId="568" xr:uid="{00000000-0005-0000-0000-00000D030000}"/>
    <cellStyle name="Обычный 5 2 2 2 2 2 2 2" xfId="1111" xr:uid="{00000000-0005-0000-0000-00000E030000}"/>
    <cellStyle name="Обычный 5 2 2 2 2 2 2 2 2" xfId="2725" xr:uid="{00000000-0005-0000-0000-00000F030000}"/>
    <cellStyle name="Обычный 5 2 2 2 2 2 2 3" xfId="1647" xr:uid="{00000000-0005-0000-0000-000010030000}"/>
    <cellStyle name="Обычный 5 2 2 2 2 2 2 3 2" xfId="3261" xr:uid="{00000000-0005-0000-0000-000011030000}"/>
    <cellStyle name="Обычный 5 2 2 2 2 2 2 4" xfId="2183" xr:uid="{00000000-0005-0000-0000-000012030000}"/>
    <cellStyle name="Обычный 5 2 2 2 2 2 3" xfId="843" xr:uid="{00000000-0005-0000-0000-000013030000}"/>
    <cellStyle name="Обычный 5 2 2 2 2 2 3 2" xfId="2457" xr:uid="{00000000-0005-0000-0000-000014030000}"/>
    <cellStyle name="Обычный 5 2 2 2 2 2 4" xfId="1379" xr:uid="{00000000-0005-0000-0000-000015030000}"/>
    <cellStyle name="Обычный 5 2 2 2 2 2 4 2" xfId="2993" xr:uid="{00000000-0005-0000-0000-000016030000}"/>
    <cellStyle name="Обычный 5 2 2 2 2 2 5" xfId="1915" xr:uid="{00000000-0005-0000-0000-000017030000}"/>
    <cellStyle name="Обычный 5 2 2 2 2 3" xfId="436" xr:uid="{00000000-0005-0000-0000-000018030000}"/>
    <cellStyle name="Обычный 5 2 2 2 2 3 2" xfId="979" xr:uid="{00000000-0005-0000-0000-000019030000}"/>
    <cellStyle name="Обычный 5 2 2 2 2 3 2 2" xfId="2593" xr:uid="{00000000-0005-0000-0000-00001A030000}"/>
    <cellStyle name="Обычный 5 2 2 2 2 3 3" xfId="1515" xr:uid="{00000000-0005-0000-0000-00001B030000}"/>
    <cellStyle name="Обычный 5 2 2 2 2 3 3 2" xfId="3129" xr:uid="{00000000-0005-0000-0000-00001C030000}"/>
    <cellStyle name="Обычный 5 2 2 2 2 3 4" xfId="2051" xr:uid="{00000000-0005-0000-0000-00001D030000}"/>
    <cellStyle name="Обычный 5 2 2 2 2 4" xfId="711" xr:uid="{00000000-0005-0000-0000-00001E030000}"/>
    <cellStyle name="Обычный 5 2 2 2 2 4 2" xfId="2325" xr:uid="{00000000-0005-0000-0000-00001F030000}"/>
    <cellStyle name="Обычный 5 2 2 2 2 5" xfId="1247" xr:uid="{00000000-0005-0000-0000-000020030000}"/>
    <cellStyle name="Обычный 5 2 2 2 2 5 2" xfId="2861" xr:uid="{00000000-0005-0000-0000-000021030000}"/>
    <cellStyle name="Обычный 5 2 2 2 2 6" xfId="1783" xr:uid="{00000000-0005-0000-0000-000022030000}"/>
    <cellStyle name="Обычный 5 2 2 2 3" xfId="113" xr:uid="{00000000-0005-0000-0000-000023030000}"/>
    <cellStyle name="Обычный 5 2 2 2 3 2" xfId="255" xr:uid="{00000000-0005-0000-0000-000024030000}"/>
    <cellStyle name="Обычный 5 2 2 2 3 2 2" xfId="524" xr:uid="{00000000-0005-0000-0000-000025030000}"/>
    <cellStyle name="Обычный 5 2 2 2 3 2 2 2" xfId="1067" xr:uid="{00000000-0005-0000-0000-000026030000}"/>
    <cellStyle name="Обычный 5 2 2 2 3 2 2 2 2" xfId="2681" xr:uid="{00000000-0005-0000-0000-000027030000}"/>
    <cellStyle name="Обычный 5 2 2 2 3 2 2 3" xfId="1603" xr:uid="{00000000-0005-0000-0000-000028030000}"/>
    <cellStyle name="Обычный 5 2 2 2 3 2 2 3 2" xfId="3217" xr:uid="{00000000-0005-0000-0000-000029030000}"/>
    <cellStyle name="Обычный 5 2 2 2 3 2 2 4" xfId="2139" xr:uid="{00000000-0005-0000-0000-00002A030000}"/>
    <cellStyle name="Обычный 5 2 2 2 3 2 3" xfId="799" xr:uid="{00000000-0005-0000-0000-00002B030000}"/>
    <cellStyle name="Обычный 5 2 2 2 3 2 3 2" xfId="2413" xr:uid="{00000000-0005-0000-0000-00002C030000}"/>
    <cellStyle name="Обычный 5 2 2 2 3 2 4" xfId="1335" xr:uid="{00000000-0005-0000-0000-00002D030000}"/>
    <cellStyle name="Обычный 5 2 2 2 3 2 4 2" xfId="2949" xr:uid="{00000000-0005-0000-0000-00002E030000}"/>
    <cellStyle name="Обычный 5 2 2 2 3 2 5" xfId="1871" xr:uid="{00000000-0005-0000-0000-00002F030000}"/>
    <cellStyle name="Обычный 5 2 2 2 3 3" xfId="392" xr:uid="{00000000-0005-0000-0000-000030030000}"/>
    <cellStyle name="Обычный 5 2 2 2 3 3 2" xfId="935" xr:uid="{00000000-0005-0000-0000-000031030000}"/>
    <cellStyle name="Обычный 5 2 2 2 3 3 2 2" xfId="2549" xr:uid="{00000000-0005-0000-0000-000032030000}"/>
    <cellStyle name="Обычный 5 2 2 2 3 3 3" xfId="1471" xr:uid="{00000000-0005-0000-0000-000033030000}"/>
    <cellStyle name="Обычный 5 2 2 2 3 3 3 2" xfId="3085" xr:uid="{00000000-0005-0000-0000-000034030000}"/>
    <cellStyle name="Обычный 5 2 2 2 3 3 4" xfId="2007" xr:uid="{00000000-0005-0000-0000-000035030000}"/>
    <cellStyle name="Обычный 5 2 2 2 3 4" xfId="666" xr:uid="{00000000-0005-0000-0000-000036030000}"/>
    <cellStyle name="Обычный 5 2 2 2 3 4 2" xfId="2280" xr:uid="{00000000-0005-0000-0000-000037030000}"/>
    <cellStyle name="Обычный 5 2 2 2 3 5" xfId="1203" xr:uid="{00000000-0005-0000-0000-000038030000}"/>
    <cellStyle name="Обычный 5 2 2 2 3 5 2" xfId="2817" xr:uid="{00000000-0005-0000-0000-000039030000}"/>
    <cellStyle name="Обычный 5 2 2 2 3 6" xfId="1739" xr:uid="{00000000-0005-0000-0000-00003A030000}"/>
    <cellStyle name="Обычный 5 2 2 2 4" xfId="210" xr:uid="{00000000-0005-0000-0000-00003B030000}"/>
    <cellStyle name="Обычный 5 2 2 2 4 2" xfId="480" xr:uid="{00000000-0005-0000-0000-00003C030000}"/>
    <cellStyle name="Обычный 5 2 2 2 4 2 2" xfId="1023" xr:uid="{00000000-0005-0000-0000-00003D030000}"/>
    <cellStyle name="Обычный 5 2 2 2 4 2 2 2" xfId="2637" xr:uid="{00000000-0005-0000-0000-00003E030000}"/>
    <cellStyle name="Обычный 5 2 2 2 4 2 3" xfId="1559" xr:uid="{00000000-0005-0000-0000-00003F030000}"/>
    <cellStyle name="Обычный 5 2 2 2 4 2 3 2" xfId="3173" xr:uid="{00000000-0005-0000-0000-000040030000}"/>
    <cellStyle name="Обычный 5 2 2 2 4 2 4" xfId="2095" xr:uid="{00000000-0005-0000-0000-000041030000}"/>
    <cellStyle name="Обычный 5 2 2 2 4 3" xfId="755" xr:uid="{00000000-0005-0000-0000-000042030000}"/>
    <cellStyle name="Обычный 5 2 2 2 4 3 2" xfId="2369" xr:uid="{00000000-0005-0000-0000-000043030000}"/>
    <cellStyle name="Обычный 5 2 2 2 4 4" xfId="1291" xr:uid="{00000000-0005-0000-0000-000044030000}"/>
    <cellStyle name="Обычный 5 2 2 2 4 4 2" xfId="2905" xr:uid="{00000000-0005-0000-0000-000045030000}"/>
    <cellStyle name="Обычный 5 2 2 2 4 5" xfId="1827" xr:uid="{00000000-0005-0000-0000-000046030000}"/>
    <cellStyle name="Обычный 5 2 2 2 5" xfId="348" xr:uid="{00000000-0005-0000-0000-000047030000}"/>
    <cellStyle name="Обычный 5 2 2 2 5 2" xfId="891" xr:uid="{00000000-0005-0000-0000-000048030000}"/>
    <cellStyle name="Обычный 5 2 2 2 5 2 2" xfId="2505" xr:uid="{00000000-0005-0000-0000-000049030000}"/>
    <cellStyle name="Обычный 5 2 2 2 5 3" xfId="1427" xr:uid="{00000000-0005-0000-0000-00004A030000}"/>
    <cellStyle name="Обычный 5 2 2 2 5 3 2" xfId="3041" xr:uid="{00000000-0005-0000-0000-00004B030000}"/>
    <cellStyle name="Обычный 5 2 2 2 5 4" xfId="1963" xr:uid="{00000000-0005-0000-0000-00004C030000}"/>
    <cellStyle name="Обычный 5 2 2 2 6" xfId="621" xr:uid="{00000000-0005-0000-0000-00004D030000}"/>
    <cellStyle name="Обычный 5 2 2 2 6 2" xfId="2235" xr:uid="{00000000-0005-0000-0000-00004E030000}"/>
    <cellStyle name="Обычный 5 2 2 2 7" xfId="1159" xr:uid="{00000000-0005-0000-0000-00004F030000}"/>
    <cellStyle name="Обычный 5 2 2 2 7 2" xfId="2773" xr:uid="{00000000-0005-0000-0000-000050030000}"/>
    <cellStyle name="Обычный 5 2 2 2 8" xfId="1695" xr:uid="{00000000-0005-0000-0000-000051030000}"/>
    <cellStyle name="Обычный 5 2 2 3" xfId="143" xr:uid="{00000000-0005-0000-0000-000052030000}"/>
    <cellStyle name="Обычный 5 2 2 3 2" xfId="282" xr:uid="{00000000-0005-0000-0000-000053030000}"/>
    <cellStyle name="Обычный 5 2 2 3 2 2" xfId="550" xr:uid="{00000000-0005-0000-0000-000054030000}"/>
    <cellStyle name="Обычный 5 2 2 3 2 2 2" xfId="1093" xr:uid="{00000000-0005-0000-0000-000055030000}"/>
    <cellStyle name="Обычный 5 2 2 3 2 2 2 2" xfId="2707" xr:uid="{00000000-0005-0000-0000-000056030000}"/>
    <cellStyle name="Обычный 5 2 2 3 2 2 3" xfId="1629" xr:uid="{00000000-0005-0000-0000-000057030000}"/>
    <cellStyle name="Обычный 5 2 2 3 2 2 3 2" xfId="3243" xr:uid="{00000000-0005-0000-0000-000058030000}"/>
    <cellStyle name="Обычный 5 2 2 3 2 2 4" xfId="2165" xr:uid="{00000000-0005-0000-0000-000059030000}"/>
    <cellStyle name="Обычный 5 2 2 3 2 3" xfId="825" xr:uid="{00000000-0005-0000-0000-00005A030000}"/>
    <cellStyle name="Обычный 5 2 2 3 2 3 2" xfId="2439" xr:uid="{00000000-0005-0000-0000-00005B030000}"/>
    <cellStyle name="Обычный 5 2 2 3 2 4" xfId="1361" xr:uid="{00000000-0005-0000-0000-00005C030000}"/>
    <cellStyle name="Обычный 5 2 2 3 2 4 2" xfId="2975" xr:uid="{00000000-0005-0000-0000-00005D030000}"/>
    <cellStyle name="Обычный 5 2 2 3 2 5" xfId="1897" xr:uid="{00000000-0005-0000-0000-00005E030000}"/>
    <cellStyle name="Обычный 5 2 2 3 3" xfId="418" xr:uid="{00000000-0005-0000-0000-00005F030000}"/>
    <cellStyle name="Обычный 5 2 2 3 3 2" xfId="961" xr:uid="{00000000-0005-0000-0000-000060030000}"/>
    <cellStyle name="Обычный 5 2 2 3 3 2 2" xfId="2575" xr:uid="{00000000-0005-0000-0000-000061030000}"/>
    <cellStyle name="Обычный 5 2 2 3 3 3" xfId="1497" xr:uid="{00000000-0005-0000-0000-000062030000}"/>
    <cellStyle name="Обычный 5 2 2 3 3 3 2" xfId="3111" xr:uid="{00000000-0005-0000-0000-000063030000}"/>
    <cellStyle name="Обычный 5 2 2 3 3 4" xfId="2033" xr:uid="{00000000-0005-0000-0000-000064030000}"/>
    <cellStyle name="Обычный 5 2 2 3 4" xfId="693" xr:uid="{00000000-0005-0000-0000-000065030000}"/>
    <cellStyle name="Обычный 5 2 2 3 4 2" xfId="2307" xr:uid="{00000000-0005-0000-0000-000066030000}"/>
    <cellStyle name="Обычный 5 2 2 3 5" xfId="1229" xr:uid="{00000000-0005-0000-0000-000067030000}"/>
    <cellStyle name="Обычный 5 2 2 3 5 2" xfId="2843" xr:uid="{00000000-0005-0000-0000-000068030000}"/>
    <cellStyle name="Обычный 5 2 2 3 6" xfId="1765" xr:uid="{00000000-0005-0000-0000-000069030000}"/>
    <cellStyle name="Обычный 5 2 2 4" xfId="95" xr:uid="{00000000-0005-0000-0000-00006A030000}"/>
    <cellStyle name="Обычный 5 2 2 4 2" xfId="237" xr:uid="{00000000-0005-0000-0000-00006B030000}"/>
    <cellStyle name="Обычный 5 2 2 4 2 2" xfId="506" xr:uid="{00000000-0005-0000-0000-00006C030000}"/>
    <cellStyle name="Обычный 5 2 2 4 2 2 2" xfId="1049" xr:uid="{00000000-0005-0000-0000-00006D030000}"/>
    <cellStyle name="Обычный 5 2 2 4 2 2 2 2" xfId="2663" xr:uid="{00000000-0005-0000-0000-00006E030000}"/>
    <cellStyle name="Обычный 5 2 2 4 2 2 3" xfId="1585" xr:uid="{00000000-0005-0000-0000-00006F030000}"/>
    <cellStyle name="Обычный 5 2 2 4 2 2 3 2" xfId="3199" xr:uid="{00000000-0005-0000-0000-000070030000}"/>
    <cellStyle name="Обычный 5 2 2 4 2 2 4" xfId="2121" xr:uid="{00000000-0005-0000-0000-000071030000}"/>
    <cellStyle name="Обычный 5 2 2 4 2 3" xfId="781" xr:uid="{00000000-0005-0000-0000-000072030000}"/>
    <cellStyle name="Обычный 5 2 2 4 2 3 2" xfId="2395" xr:uid="{00000000-0005-0000-0000-000073030000}"/>
    <cellStyle name="Обычный 5 2 2 4 2 4" xfId="1317" xr:uid="{00000000-0005-0000-0000-000074030000}"/>
    <cellStyle name="Обычный 5 2 2 4 2 4 2" xfId="2931" xr:uid="{00000000-0005-0000-0000-000075030000}"/>
    <cellStyle name="Обычный 5 2 2 4 2 5" xfId="1853" xr:uid="{00000000-0005-0000-0000-000076030000}"/>
    <cellStyle name="Обычный 5 2 2 4 3" xfId="374" xr:uid="{00000000-0005-0000-0000-000077030000}"/>
    <cellStyle name="Обычный 5 2 2 4 3 2" xfId="917" xr:uid="{00000000-0005-0000-0000-000078030000}"/>
    <cellStyle name="Обычный 5 2 2 4 3 2 2" xfId="2531" xr:uid="{00000000-0005-0000-0000-000079030000}"/>
    <cellStyle name="Обычный 5 2 2 4 3 3" xfId="1453" xr:uid="{00000000-0005-0000-0000-00007A030000}"/>
    <cellStyle name="Обычный 5 2 2 4 3 3 2" xfId="3067" xr:uid="{00000000-0005-0000-0000-00007B030000}"/>
    <cellStyle name="Обычный 5 2 2 4 3 4" xfId="1989" xr:uid="{00000000-0005-0000-0000-00007C030000}"/>
    <cellStyle name="Обычный 5 2 2 4 4" xfId="648" xr:uid="{00000000-0005-0000-0000-00007D030000}"/>
    <cellStyle name="Обычный 5 2 2 4 4 2" xfId="2262" xr:uid="{00000000-0005-0000-0000-00007E030000}"/>
    <cellStyle name="Обычный 5 2 2 4 5" xfId="1185" xr:uid="{00000000-0005-0000-0000-00007F030000}"/>
    <cellStyle name="Обычный 5 2 2 4 5 2" xfId="2799" xr:uid="{00000000-0005-0000-0000-000080030000}"/>
    <cellStyle name="Обычный 5 2 2 4 6" xfId="1721" xr:uid="{00000000-0005-0000-0000-000081030000}"/>
    <cellStyle name="Обычный 5 2 2 5" xfId="192" xr:uid="{00000000-0005-0000-0000-000082030000}"/>
    <cellStyle name="Обычный 5 2 2 5 2" xfId="462" xr:uid="{00000000-0005-0000-0000-000083030000}"/>
    <cellStyle name="Обычный 5 2 2 5 2 2" xfId="1005" xr:uid="{00000000-0005-0000-0000-000084030000}"/>
    <cellStyle name="Обычный 5 2 2 5 2 2 2" xfId="2619" xr:uid="{00000000-0005-0000-0000-000085030000}"/>
    <cellStyle name="Обычный 5 2 2 5 2 3" xfId="1541" xr:uid="{00000000-0005-0000-0000-000086030000}"/>
    <cellStyle name="Обычный 5 2 2 5 2 3 2" xfId="3155" xr:uid="{00000000-0005-0000-0000-000087030000}"/>
    <cellStyle name="Обычный 5 2 2 5 2 4" xfId="2077" xr:uid="{00000000-0005-0000-0000-000088030000}"/>
    <cellStyle name="Обычный 5 2 2 5 3" xfId="737" xr:uid="{00000000-0005-0000-0000-000089030000}"/>
    <cellStyle name="Обычный 5 2 2 5 3 2" xfId="2351" xr:uid="{00000000-0005-0000-0000-00008A030000}"/>
    <cellStyle name="Обычный 5 2 2 5 4" xfId="1273" xr:uid="{00000000-0005-0000-0000-00008B030000}"/>
    <cellStyle name="Обычный 5 2 2 5 4 2" xfId="2887" xr:uid="{00000000-0005-0000-0000-00008C030000}"/>
    <cellStyle name="Обычный 5 2 2 5 5" xfId="1809" xr:uid="{00000000-0005-0000-0000-00008D030000}"/>
    <cellStyle name="Обычный 5 2 2 6" xfId="330" xr:uid="{00000000-0005-0000-0000-00008E030000}"/>
    <cellStyle name="Обычный 5 2 2 6 2" xfId="873" xr:uid="{00000000-0005-0000-0000-00008F030000}"/>
    <cellStyle name="Обычный 5 2 2 6 2 2" xfId="2487" xr:uid="{00000000-0005-0000-0000-000090030000}"/>
    <cellStyle name="Обычный 5 2 2 6 3" xfId="1409" xr:uid="{00000000-0005-0000-0000-000091030000}"/>
    <cellStyle name="Обычный 5 2 2 6 3 2" xfId="3023" xr:uid="{00000000-0005-0000-0000-000092030000}"/>
    <cellStyle name="Обычный 5 2 2 6 4" xfId="1945" xr:uid="{00000000-0005-0000-0000-000093030000}"/>
    <cellStyle name="Обычный 5 2 2 7" xfId="603" xr:uid="{00000000-0005-0000-0000-000094030000}"/>
    <cellStyle name="Обычный 5 2 2 7 2" xfId="2217" xr:uid="{00000000-0005-0000-0000-000095030000}"/>
    <cellStyle name="Обычный 5 2 2 8" xfId="1141" xr:uid="{00000000-0005-0000-0000-000096030000}"/>
    <cellStyle name="Обычный 5 2 2 8 2" xfId="2755" xr:uid="{00000000-0005-0000-0000-000097030000}"/>
    <cellStyle name="Обычный 5 2 2 9" xfId="1677" xr:uid="{00000000-0005-0000-0000-000098030000}"/>
    <cellStyle name="Обычный 5 2 3" xfId="39" xr:uid="{00000000-0005-0000-0000-000099030000}"/>
    <cellStyle name="Обычный 5 2 3 2" xfId="134" xr:uid="{00000000-0005-0000-0000-00009A030000}"/>
    <cellStyle name="Обычный 5 2 3 2 2" xfId="273" xr:uid="{00000000-0005-0000-0000-00009B030000}"/>
    <cellStyle name="Обычный 5 2 3 2 2 2" xfId="541" xr:uid="{00000000-0005-0000-0000-00009C030000}"/>
    <cellStyle name="Обычный 5 2 3 2 2 2 2" xfId="1084" xr:uid="{00000000-0005-0000-0000-00009D030000}"/>
    <cellStyle name="Обычный 5 2 3 2 2 2 2 2" xfId="2698" xr:uid="{00000000-0005-0000-0000-00009E030000}"/>
    <cellStyle name="Обычный 5 2 3 2 2 2 3" xfId="1620" xr:uid="{00000000-0005-0000-0000-00009F030000}"/>
    <cellStyle name="Обычный 5 2 3 2 2 2 3 2" xfId="3234" xr:uid="{00000000-0005-0000-0000-0000A0030000}"/>
    <cellStyle name="Обычный 5 2 3 2 2 2 4" xfId="2156" xr:uid="{00000000-0005-0000-0000-0000A1030000}"/>
    <cellStyle name="Обычный 5 2 3 2 2 3" xfId="816" xr:uid="{00000000-0005-0000-0000-0000A2030000}"/>
    <cellStyle name="Обычный 5 2 3 2 2 3 2" xfId="2430" xr:uid="{00000000-0005-0000-0000-0000A3030000}"/>
    <cellStyle name="Обычный 5 2 3 2 2 4" xfId="1352" xr:uid="{00000000-0005-0000-0000-0000A4030000}"/>
    <cellStyle name="Обычный 5 2 3 2 2 4 2" xfId="2966" xr:uid="{00000000-0005-0000-0000-0000A5030000}"/>
    <cellStyle name="Обычный 5 2 3 2 2 5" xfId="1888" xr:uid="{00000000-0005-0000-0000-0000A6030000}"/>
    <cellStyle name="Обычный 5 2 3 2 3" xfId="409" xr:uid="{00000000-0005-0000-0000-0000A7030000}"/>
    <cellStyle name="Обычный 5 2 3 2 3 2" xfId="952" xr:uid="{00000000-0005-0000-0000-0000A8030000}"/>
    <cellStyle name="Обычный 5 2 3 2 3 2 2" xfId="2566" xr:uid="{00000000-0005-0000-0000-0000A9030000}"/>
    <cellStyle name="Обычный 5 2 3 2 3 3" xfId="1488" xr:uid="{00000000-0005-0000-0000-0000AA030000}"/>
    <cellStyle name="Обычный 5 2 3 2 3 3 2" xfId="3102" xr:uid="{00000000-0005-0000-0000-0000AB030000}"/>
    <cellStyle name="Обычный 5 2 3 2 3 4" xfId="2024" xr:uid="{00000000-0005-0000-0000-0000AC030000}"/>
    <cellStyle name="Обычный 5 2 3 2 4" xfId="684" xr:uid="{00000000-0005-0000-0000-0000AD030000}"/>
    <cellStyle name="Обычный 5 2 3 2 4 2" xfId="2298" xr:uid="{00000000-0005-0000-0000-0000AE030000}"/>
    <cellStyle name="Обычный 5 2 3 2 5" xfId="1220" xr:uid="{00000000-0005-0000-0000-0000AF030000}"/>
    <cellStyle name="Обычный 5 2 3 2 5 2" xfId="2834" xr:uid="{00000000-0005-0000-0000-0000B0030000}"/>
    <cellStyle name="Обычный 5 2 3 2 6" xfId="1756" xr:uid="{00000000-0005-0000-0000-0000B1030000}"/>
    <cellStyle name="Обычный 5 2 3 3" xfId="86" xr:uid="{00000000-0005-0000-0000-0000B2030000}"/>
    <cellStyle name="Обычный 5 2 3 3 2" xfId="228" xr:uid="{00000000-0005-0000-0000-0000B3030000}"/>
    <cellStyle name="Обычный 5 2 3 3 2 2" xfId="497" xr:uid="{00000000-0005-0000-0000-0000B4030000}"/>
    <cellStyle name="Обычный 5 2 3 3 2 2 2" xfId="1040" xr:uid="{00000000-0005-0000-0000-0000B5030000}"/>
    <cellStyle name="Обычный 5 2 3 3 2 2 2 2" xfId="2654" xr:uid="{00000000-0005-0000-0000-0000B6030000}"/>
    <cellStyle name="Обычный 5 2 3 3 2 2 3" xfId="1576" xr:uid="{00000000-0005-0000-0000-0000B7030000}"/>
    <cellStyle name="Обычный 5 2 3 3 2 2 3 2" xfId="3190" xr:uid="{00000000-0005-0000-0000-0000B8030000}"/>
    <cellStyle name="Обычный 5 2 3 3 2 2 4" xfId="2112" xr:uid="{00000000-0005-0000-0000-0000B9030000}"/>
    <cellStyle name="Обычный 5 2 3 3 2 3" xfId="772" xr:uid="{00000000-0005-0000-0000-0000BA030000}"/>
    <cellStyle name="Обычный 5 2 3 3 2 3 2" xfId="2386" xr:uid="{00000000-0005-0000-0000-0000BB030000}"/>
    <cellStyle name="Обычный 5 2 3 3 2 4" xfId="1308" xr:uid="{00000000-0005-0000-0000-0000BC030000}"/>
    <cellStyle name="Обычный 5 2 3 3 2 4 2" xfId="2922" xr:uid="{00000000-0005-0000-0000-0000BD030000}"/>
    <cellStyle name="Обычный 5 2 3 3 2 5" xfId="1844" xr:uid="{00000000-0005-0000-0000-0000BE030000}"/>
    <cellStyle name="Обычный 5 2 3 3 3" xfId="365" xr:uid="{00000000-0005-0000-0000-0000BF030000}"/>
    <cellStyle name="Обычный 5 2 3 3 3 2" xfId="908" xr:uid="{00000000-0005-0000-0000-0000C0030000}"/>
    <cellStyle name="Обычный 5 2 3 3 3 2 2" xfId="2522" xr:uid="{00000000-0005-0000-0000-0000C1030000}"/>
    <cellStyle name="Обычный 5 2 3 3 3 3" xfId="1444" xr:uid="{00000000-0005-0000-0000-0000C2030000}"/>
    <cellStyle name="Обычный 5 2 3 3 3 3 2" xfId="3058" xr:uid="{00000000-0005-0000-0000-0000C3030000}"/>
    <cellStyle name="Обычный 5 2 3 3 3 4" xfId="1980" xr:uid="{00000000-0005-0000-0000-0000C4030000}"/>
    <cellStyle name="Обычный 5 2 3 3 4" xfId="639" xr:uid="{00000000-0005-0000-0000-0000C5030000}"/>
    <cellStyle name="Обычный 5 2 3 3 4 2" xfId="2253" xr:uid="{00000000-0005-0000-0000-0000C6030000}"/>
    <cellStyle name="Обычный 5 2 3 3 5" xfId="1176" xr:uid="{00000000-0005-0000-0000-0000C7030000}"/>
    <cellStyle name="Обычный 5 2 3 3 5 2" xfId="2790" xr:uid="{00000000-0005-0000-0000-0000C8030000}"/>
    <cellStyle name="Обычный 5 2 3 3 6" xfId="1712" xr:uid="{00000000-0005-0000-0000-0000C9030000}"/>
    <cellStyle name="Обычный 5 2 3 4" xfId="183" xr:uid="{00000000-0005-0000-0000-0000CA030000}"/>
    <cellStyle name="Обычный 5 2 3 4 2" xfId="453" xr:uid="{00000000-0005-0000-0000-0000CB030000}"/>
    <cellStyle name="Обычный 5 2 3 4 2 2" xfId="996" xr:uid="{00000000-0005-0000-0000-0000CC030000}"/>
    <cellStyle name="Обычный 5 2 3 4 2 2 2" xfId="2610" xr:uid="{00000000-0005-0000-0000-0000CD030000}"/>
    <cellStyle name="Обычный 5 2 3 4 2 3" xfId="1532" xr:uid="{00000000-0005-0000-0000-0000CE030000}"/>
    <cellStyle name="Обычный 5 2 3 4 2 3 2" xfId="3146" xr:uid="{00000000-0005-0000-0000-0000CF030000}"/>
    <cellStyle name="Обычный 5 2 3 4 2 4" xfId="2068" xr:uid="{00000000-0005-0000-0000-0000D0030000}"/>
    <cellStyle name="Обычный 5 2 3 4 3" xfId="728" xr:uid="{00000000-0005-0000-0000-0000D1030000}"/>
    <cellStyle name="Обычный 5 2 3 4 3 2" xfId="2342" xr:uid="{00000000-0005-0000-0000-0000D2030000}"/>
    <cellStyle name="Обычный 5 2 3 4 4" xfId="1264" xr:uid="{00000000-0005-0000-0000-0000D3030000}"/>
    <cellStyle name="Обычный 5 2 3 4 4 2" xfId="2878" xr:uid="{00000000-0005-0000-0000-0000D4030000}"/>
    <cellStyle name="Обычный 5 2 3 4 5" xfId="1800" xr:uid="{00000000-0005-0000-0000-0000D5030000}"/>
    <cellStyle name="Обычный 5 2 3 5" xfId="321" xr:uid="{00000000-0005-0000-0000-0000D6030000}"/>
    <cellStyle name="Обычный 5 2 3 5 2" xfId="864" xr:uid="{00000000-0005-0000-0000-0000D7030000}"/>
    <cellStyle name="Обычный 5 2 3 5 2 2" xfId="2478" xr:uid="{00000000-0005-0000-0000-0000D8030000}"/>
    <cellStyle name="Обычный 5 2 3 5 3" xfId="1400" xr:uid="{00000000-0005-0000-0000-0000D9030000}"/>
    <cellStyle name="Обычный 5 2 3 5 3 2" xfId="3014" xr:uid="{00000000-0005-0000-0000-0000DA030000}"/>
    <cellStyle name="Обычный 5 2 3 5 4" xfId="1936" xr:uid="{00000000-0005-0000-0000-0000DB030000}"/>
    <cellStyle name="Обычный 5 2 3 6" xfId="594" xr:uid="{00000000-0005-0000-0000-0000DC030000}"/>
    <cellStyle name="Обычный 5 2 3 6 2" xfId="2208" xr:uid="{00000000-0005-0000-0000-0000DD030000}"/>
    <cellStyle name="Обычный 5 2 3 7" xfId="1132" xr:uid="{00000000-0005-0000-0000-0000DE030000}"/>
    <cellStyle name="Обычный 5 2 3 7 2" xfId="2746" xr:uid="{00000000-0005-0000-0000-0000DF030000}"/>
    <cellStyle name="Обычный 5 2 3 8" xfId="1668" xr:uid="{00000000-0005-0000-0000-0000E0030000}"/>
    <cellStyle name="Обычный 5 2 4" xfId="56" xr:uid="{00000000-0005-0000-0000-0000E1030000}"/>
    <cellStyle name="Обычный 5 2 4 2" xfId="151" xr:uid="{00000000-0005-0000-0000-0000E2030000}"/>
    <cellStyle name="Обычный 5 2 4 2 2" xfId="290" xr:uid="{00000000-0005-0000-0000-0000E3030000}"/>
    <cellStyle name="Обычный 5 2 4 2 2 2" xfId="558" xr:uid="{00000000-0005-0000-0000-0000E4030000}"/>
    <cellStyle name="Обычный 5 2 4 2 2 2 2" xfId="1101" xr:uid="{00000000-0005-0000-0000-0000E5030000}"/>
    <cellStyle name="Обычный 5 2 4 2 2 2 2 2" xfId="2715" xr:uid="{00000000-0005-0000-0000-0000E6030000}"/>
    <cellStyle name="Обычный 5 2 4 2 2 2 3" xfId="1637" xr:uid="{00000000-0005-0000-0000-0000E7030000}"/>
    <cellStyle name="Обычный 5 2 4 2 2 2 3 2" xfId="3251" xr:uid="{00000000-0005-0000-0000-0000E8030000}"/>
    <cellStyle name="Обычный 5 2 4 2 2 2 4" xfId="2173" xr:uid="{00000000-0005-0000-0000-0000E9030000}"/>
    <cellStyle name="Обычный 5 2 4 2 2 3" xfId="833" xr:uid="{00000000-0005-0000-0000-0000EA030000}"/>
    <cellStyle name="Обычный 5 2 4 2 2 3 2" xfId="2447" xr:uid="{00000000-0005-0000-0000-0000EB030000}"/>
    <cellStyle name="Обычный 5 2 4 2 2 4" xfId="1369" xr:uid="{00000000-0005-0000-0000-0000EC030000}"/>
    <cellStyle name="Обычный 5 2 4 2 2 4 2" xfId="2983" xr:uid="{00000000-0005-0000-0000-0000ED030000}"/>
    <cellStyle name="Обычный 5 2 4 2 2 5" xfId="1905" xr:uid="{00000000-0005-0000-0000-0000EE030000}"/>
    <cellStyle name="Обычный 5 2 4 2 3" xfId="426" xr:uid="{00000000-0005-0000-0000-0000EF030000}"/>
    <cellStyle name="Обычный 5 2 4 2 3 2" xfId="969" xr:uid="{00000000-0005-0000-0000-0000F0030000}"/>
    <cellStyle name="Обычный 5 2 4 2 3 2 2" xfId="2583" xr:uid="{00000000-0005-0000-0000-0000F1030000}"/>
    <cellStyle name="Обычный 5 2 4 2 3 3" xfId="1505" xr:uid="{00000000-0005-0000-0000-0000F2030000}"/>
    <cellStyle name="Обычный 5 2 4 2 3 3 2" xfId="3119" xr:uid="{00000000-0005-0000-0000-0000F3030000}"/>
    <cellStyle name="Обычный 5 2 4 2 3 4" xfId="2041" xr:uid="{00000000-0005-0000-0000-0000F4030000}"/>
    <cellStyle name="Обычный 5 2 4 2 4" xfId="701" xr:uid="{00000000-0005-0000-0000-0000F5030000}"/>
    <cellStyle name="Обычный 5 2 4 2 4 2" xfId="2315" xr:uid="{00000000-0005-0000-0000-0000F6030000}"/>
    <cellStyle name="Обычный 5 2 4 2 5" xfId="1237" xr:uid="{00000000-0005-0000-0000-0000F7030000}"/>
    <cellStyle name="Обычный 5 2 4 2 5 2" xfId="2851" xr:uid="{00000000-0005-0000-0000-0000F8030000}"/>
    <cellStyle name="Обычный 5 2 4 2 6" xfId="1773" xr:uid="{00000000-0005-0000-0000-0000F9030000}"/>
    <cellStyle name="Обычный 5 2 4 3" xfId="103" xr:uid="{00000000-0005-0000-0000-0000FA030000}"/>
    <cellStyle name="Обычный 5 2 4 3 2" xfId="245" xr:uid="{00000000-0005-0000-0000-0000FB030000}"/>
    <cellStyle name="Обычный 5 2 4 3 2 2" xfId="514" xr:uid="{00000000-0005-0000-0000-0000FC030000}"/>
    <cellStyle name="Обычный 5 2 4 3 2 2 2" xfId="1057" xr:uid="{00000000-0005-0000-0000-0000FD030000}"/>
    <cellStyle name="Обычный 5 2 4 3 2 2 2 2" xfId="2671" xr:uid="{00000000-0005-0000-0000-0000FE030000}"/>
    <cellStyle name="Обычный 5 2 4 3 2 2 3" xfId="1593" xr:uid="{00000000-0005-0000-0000-0000FF030000}"/>
    <cellStyle name="Обычный 5 2 4 3 2 2 3 2" xfId="3207" xr:uid="{00000000-0005-0000-0000-000000040000}"/>
    <cellStyle name="Обычный 5 2 4 3 2 2 4" xfId="2129" xr:uid="{00000000-0005-0000-0000-000001040000}"/>
    <cellStyle name="Обычный 5 2 4 3 2 3" xfId="789" xr:uid="{00000000-0005-0000-0000-000002040000}"/>
    <cellStyle name="Обычный 5 2 4 3 2 3 2" xfId="2403" xr:uid="{00000000-0005-0000-0000-000003040000}"/>
    <cellStyle name="Обычный 5 2 4 3 2 4" xfId="1325" xr:uid="{00000000-0005-0000-0000-000004040000}"/>
    <cellStyle name="Обычный 5 2 4 3 2 4 2" xfId="2939" xr:uid="{00000000-0005-0000-0000-000005040000}"/>
    <cellStyle name="Обычный 5 2 4 3 2 5" xfId="1861" xr:uid="{00000000-0005-0000-0000-000006040000}"/>
    <cellStyle name="Обычный 5 2 4 3 3" xfId="382" xr:uid="{00000000-0005-0000-0000-000007040000}"/>
    <cellStyle name="Обычный 5 2 4 3 3 2" xfId="925" xr:uid="{00000000-0005-0000-0000-000008040000}"/>
    <cellStyle name="Обычный 5 2 4 3 3 2 2" xfId="2539" xr:uid="{00000000-0005-0000-0000-000009040000}"/>
    <cellStyle name="Обычный 5 2 4 3 3 3" xfId="1461" xr:uid="{00000000-0005-0000-0000-00000A040000}"/>
    <cellStyle name="Обычный 5 2 4 3 3 3 2" xfId="3075" xr:uid="{00000000-0005-0000-0000-00000B040000}"/>
    <cellStyle name="Обычный 5 2 4 3 3 4" xfId="1997" xr:uid="{00000000-0005-0000-0000-00000C040000}"/>
    <cellStyle name="Обычный 5 2 4 3 4" xfId="656" xr:uid="{00000000-0005-0000-0000-00000D040000}"/>
    <cellStyle name="Обычный 5 2 4 3 4 2" xfId="2270" xr:uid="{00000000-0005-0000-0000-00000E040000}"/>
    <cellStyle name="Обычный 5 2 4 3 5" xfId="1193" xr:uid="{00000000-0005-0000-0000-00000F040000}"/>
    <cellStyle name="Обычный 5 2 4 3 5 2" xfId="2807" xr:uid="{00000000-0005-0000-0000-000010040000}"/>
    <cellStyle name="Обычный 5 2 4 3 6" xfId="1729" xr:uid="{00000000-0005-0000-0000-000011040000}"/>
    <cellStyle name="Обычный 5 2 4 4" xfId="200" xr:uid="{00000000-0005-0000-0000-000012040000}"/>
    <cellStyle name="Обычный 5 2 4 4 2" xfId="470" xr:uid="{00000000-0005-0000-0000-000013040000}"/>
    <cellStyle name="Обычный 5 2 4 4 2 2" xfId="1013" xr:uid="{00000000-0005-0000-0000-000014040000}"/>
    <cellStyle name="Обычный 5 2 4 4 2 2 2" xfId="2627" xr:uid="{00000000-0005-0000-0000-000015040000}"/>
    <cellStyle name="Обычный 5 2 4 4 2 3" xfId="1549" xr:uid="{00000000-0005-0000-0000-000016040000}"/>
    <cellStyle name="Обычный 5 2 4 4 2 3 2" xfId="3163" xr:uid="{00000000-0005-0000-0000-000017040000}"/>
    <cellStyle name="Обычный 5 2 4 4 2 4" xfId="2085" xr:uid="{00000000-0005-0000-0000-000018040000}"/>
    <cellStyle name="Обычный 5 2 4 4 3" xfId="745" xr:uid="{00000000-0005-0000-0000-000019040000}"/>
    <cellStyle name="Обычный 5 2 4 4 3 2" xfId="2359" xr:uid="{00000000-0005-0000-0000-00001A040000}"/>
    <cellStyle name="Обычный 5 2 4 4 4" xfId="1281" xr:uid="{00000000-0005-0000-0000-00001B040000}"/>
    <cellStyle name="Обычный 5 2 4 4 4 2" xfId="2895" xr:uid="{00000000-0005-0000-0000-00001C040000}"/>
    <cellStyle name="Обычный 5 2 4 4 5" xfId="1817" xr:uid="{00000000-0005-0000-0000-00001D040000}"/>
    <cellStyle name="Обычный 5 2 4 5" xfId="338" xr:uid="{00000000-0005-0000-0000-00001E040000}"/>
    <cellStyle name="Обычный 5 2 4 5 2" xfId="881" xr:uid="{00000000-0005-0000-0000-00001F040000}"/>
    <cellStyle name="Обычный 5 2 4 5 2 2" xfId="2495" xr:uid="{00000000-0005-0000-0000-000020040000}"/>
    <cellStyle name="Обычный 5 2 4 5 3" xfId="1417" xr:uid="{00000000-0005-0000-0000-000021040000}"/>
    <cellStyle name="Обычный 5 2 4 5 3 2" xfId="3031" xr:uid="{00000000-0005-0000-0000-000022040000}"/>
    <cellStyle name="Обычный 5 2 4 5 4" xfId="1953" xr:uid="{00000000-0005-0000-0000-000023040000}"/>
    <cellStyle name="Обычный 5 2 4 6" xfId="611" xr:uid="{00000000-0005-0000-0000-000024040000}"/>
    <cellStyle name="Обычный 5 2 4 6 2" xfId="2225" xr:uid="{00000000-0005-0000-0000-000025040000}"/>
    <cellStyle name="Обычный 5 2 4 7" xfId="1149" xr:uid="{00000000-0005-0000-0000-000026040000}"/>
    <cellStyle name="Обычный 5 2 4 7 2" xfId="2763" xr:uid="{00000000-0005-0000-0000-000027040000}"/>
    <cellStyle name="Обычный 5 2 4 8" xfId="1685" xr:uid="{00000000-0005-0000-0000-000028040000}"/>
    <cellStyle name="Обычный 5 2 5" xfId="123" xr:uid="{00000000-0005-0000-0000-000029040000}"/>
    <cellStyle name="Обычный 5 2 5 2" xfId="264" xr:uid="{00000000-0005-0000-0000-00002A040000}"/>
    <cellStyle name="Обычный 5 2 5 2 2" xfId="533" xr:uid="{00000000-0005-0000-0000-00002B040000}"/>
    <cellStyle name="Обычный 5 2 5 2 2 2" xfId="1076" xr:uid="{00000000-0005-0000-0000-00002C040000}"/>
    <cellStyle name="Обычный 5 2 5 2 2 2 2" xfId="2690" xr:uid="{00000000-0005-0000-0000-00002D040000}"/>
    <cellStyle name="Обычный 5 2 5 2 2 3" xfId="1612" xr:uid="{00000000-0005-0000-0000-00002E040000}"/>
    <cellStyle name="Обычный 5 2 5 2 2 3 2" xfId="3226" xr:uid="{00000000-0005-0000-0000-00002F040000}"/>
    <cellStyle name="Обычный 5 2 5 2 2 4" xfId="2148" xr:uid="{00000000-0005-0000-0000-000030040000}"/>
    <cellStyle name="Обычный 5 2 5 2 3" xfId="808" xr:uid="{00000000-0005-0000-0000-000031040000}"/>
    <cellStyle name="Обычный 5 2 5 2 3 2" xfId="2422" xr:uid="{00000000-0005-0000-0000-000032040000}"/>
    <cellStyle name="Обычный 5 2 5 2 4" xfId="1344" xr:uid="{00000000-0005-0000-0000-000033040000}"/>
    <cellStyle name="Обычный 5 2 5 2 4 2" xfId="2958" xr:uid="{00000000-0005-0000-0000-000034040000}"/>
    <cellStyle name="Обычный 5 2 5 2 5" xfId="1880" xr:uid="{00000000-0005-0000-0000-000035040000}"/>
    <cellStyle name="Обычный 5 2 5 3" xfId="401" xr:uid="{00000000-0005-0000-0000-000036040000}"/>
    <cellStyle name="Обычный 5 2 5 3 2" xfId="944" xr:uid="{00000000-0005-0000-0000-000037040000}"/>
    <cellStyle name="Обычный 5 2 5 3 2 2" xfId="2558" xr:uid="{00000000-0005-0000-0000-000038040000}"/>
    <cellStyle name="Обычный 5 2 5 3 3" xfId="1480" xr:uid="{00000000-0005-0000-0000-000039040000}"/>
    <cellStyle name="Обычный 5 2 5 3 3 2" xfId="3094" xr:uid="{00000000-0005-0000-0000-00003A040000}"/>
    <cellStyle name="Обычный 5 2 5 3 4" xfId="2016" xr:uid="{00000000-0005-0000-0000-00003B040000}"/>
    <cellStyle name="Обычный 5 2 5 4" xfId="675" xr:uid="{00000000-0005-0000-0000-00003C040000}"/>
    <cellStyle name="Обычный 5 2 5 4 2" xfId="2289" xr:uid="{00000000-0005-0000-0000-00003D040000}"/>
    <cellStyle name="Обычный 5 2 5 5" xfId="1212" xr:uid="{00000000-0005-0000-0000-00003E040000}"/>
    <cellStyle name="Обычный 5 2 5 5 2" xfId="2826" xr:uid="{00000000-0005-0000-0000-00003F040000}"/>
    <cellStyle name="Обычный 5 2 5 6" xfId="1748" xr:uid="{00000000-0005-0000-0000-000040040000}"/>
    <cellStyle name="Обычный 5 2 6" xfId="75" xr:uid="{00000000-0005-0000-0000-000041040000}"/>
    <cellStyle name="Обычный 5 2 6 2" xfId="219" xr:uid="{00000000-0005-0000-0000-000042040000}"/>
    <cellStyle name="Обычный 5 2 6 2 2" xfId="489" xr:uid="{00000000-0005-0000-0000-000043040000}"/>
    <cellStyle name="Обычный 5 2 6 2 2 2" xfId="1032" xr:uid="{00000000-0005-0000-0000-000044040000}"/>
    <cellStyle name="Обычный 5 2 6 2 2 2 2" xfId="2646" xr:uid="{00000000-0005-0000-0000-000045040000}"/>
    <cellStyle name="Обычный 5 2 6 2 2 3" xfId="1568" xr:uid="{00000000-0005-0000-0000-000046040000}"/>
    <cellStyle name="Обычный 5 2 6 2 2 3 2" xfId="3182" xr:uid="{00000000-0005-0000-0000-000047040000}"/>
    <cellStyle name="Обычный 5 2 6 2 2 4" xfId="2104" xr:uid="{00000000-0005-0000-0000-000048040000}"/>
    <cellStyle name="Обычный 5 2 6 2 3" xfId="764" xr:uid="{00000000-0005-0000-0000-000049040000}"/>
    <cellStyle name="Обычный 5 2 6 2 3 2" xfId="2378" xr:uid="{00000000-0005-0000-0000-00004A040000}"/>
    <cellStyle name="Обычный 5 2 6 2 4" xfId="1300" xr:uid="{00000000-0005-0000-0000-00004B040000}"/>
    <cellStyle name="Обычный 5 2 6 2 4 2" xfId="2914" xr:uid="{00000000-0005-0000-0000-00004C040000}"/>
    <cellStyle name="Обычный 5 2 6 2 5" xfId="1836" xr:uid="{00000000-0005-0000-0000-00004D040000}"/>
    <cellStyle name="Обычный 5 2 6 3" xfId="357" xr:uid="{00000000-0005-0000-0000-00004E040000}"/>
    <cellStyle name="Обычный 5 2 6 3 2" xfId="900" xr:uid="{00000000-0005-0000-0000-00004F040000}"/>
    <cellStyle name="Обычный 5 2 6 3 2 2" xfId="2514" xr:uid="{00000000-0005-0000-0000-000050040000}"/>
    <cellStyle name="Обычный 5 2 6 3 3" xfId="1436" xr:uid="{00000000-0005-0000-0000-000051040000}"/>
    <cellStyle name="Обычный 5 2 6 3 3 2" xfId="3050" xr:uid="{00000000-0005-0000-0000-000052040000}"/>
    <cellStyle name="Обычный 5 2 6 3 4" xfId="1972" xr:uid="{00000000-0005-0000-0000-000053040000}"/>
    <cellStyle name="Обычный 5 2 6 4" xfId="630" xr:uid="{00000000-0005-0000-0000-000054040000}"/>
    <cellStyle name="Обычный 5 2 6 4 2" xfId="2244" xr:uid="{00000000-0005-0000-0000-000055040000}"/>
    <cellStyle name="Обычный 5 2 6 5" xfId="1168" xr:uid="{00000000-0005-0000-0000-000056040000}"/>
    <cellStyle name="Обычный 5 2 6 5 2" xfId="2782" xr:uid="{00000000-0005-0000-0000-000057040000}"/>
    <cellStyle name="Обычный 5 2 6 6" xfId="1704" xr:uid="{00000000-0005-0000-0000-000058040000}"/>
    <cellStyle name="Обычный 5 2 7" xfId="173" xr:uid="{00000000-0005-0000-0000-000059040000}"/>
    <cellStyle name="Обычный 5 2 7 2" xfId="445" xr:uid="{00000000-0005-0000-0000-00005A040000}"/>
    <cellStyle name="Обычный 5 2 7 2 2" xfId="988" xr:uid="{00000000-0005-0000-0000-00005B040000}"/>
    <cellStyle name="Обычный 5 2 7 2 2 2" xfId="2602" xr:uid="{00000000-0005-0000-0000-00005C040000}"/>
    <cellStyle name="Обычный 5 2 7 2 3" xfId="1524" xr:uid="{00000000-0005-0000-0000-00005D040000}"/>
    <cellStyle name="Обычный 5 2 7 2 3 2" xfId="3138" xr:uid="{00000000-0005-0000-0000-00005E040000}"/>
    <cellStyle name="Обычный 5 2 7 2 4" xfId="2060" xr:uid="{00000000-0005-0000-0000-00005F040000}"/>
    <cellStyle name="Обычный 5 2 7 3" xfId="720" xr:uid="{00000000-0005-0000-0000-000060040000}"/>
    <cellStyle name="Обычный 5 2 7 3 2" xfId="2334" xr:uid="{00000000-0005-0000-0000-000061040000}"/>
    <cellStyle name="Обычный 5 2 7 4" xfId="1256" xr:uid="{00000000-0005-0000-0000-000062040000}"/>
    <cellStyle name="Обычный 5 2 7 4 2" xfId="2870" xr:uid="{00000000-0005-0000-0000-000063040000}"/>
    <cellStyle name="Обычный 5 2 7 5" xfId="1792" xr:uid="{00000000-0005-0000-0000-000064040000}"/>
    <cellStyle name="Обычный 5 2 8" xfId="313" xr:uid="{00000000-0005-0000-0000-000065040000}"/>
    <cellStyle name="Обычный 5 2 8 2" xfId="856" xr:uid="{00000000-0005-0000-0000-000066040000}"/>
    <cellStyle name="Обычный 5 2 8 2 2" xfId="2470" xr:uid="{00000000-0005-0000-0000-000067040000}"/>
    <cellStyle name="Обычный 5 2 8 3" xfId="1392" xr:uid="{00000000-0005-0000-0000-000068040000}"/>
    <cellStyle name="Обычный 5 2 8 3 2" xfId="3006" xr:uid="{00000000-0005-0000-0000-000069040000}"/>
    <cellStyle name="Обычный 5 2 8 4" xfId="1928" xr:uid="{00000000-0005-0000-0000-00006A040000}"/>
    <cellStyle name="Обычный 5 2 9" xfId="584" xr:uid="{00000000-0005-0000-0000-00006B040000}"/>
    <cellStyle name="Обычный 5 2 9 2" xfId="2198" xr:uid="{00000000-0005-0000-0000-00006C040000}"/>
    <cellStyle name="Обычный 5 3" xfId="43" xr:uid="{00000000-0005-0000-0000-00006D040000}"/>
    <cellStyle name="Обычный 5 3 2" xfId="61" xr:uid="{00000000-0005-0000-0000-00006E040000}"/>
    <cellStyle name="Обычный 5 3 2 2" xfId="156" xr:uid="{00000000-0005-0000-0000-00006F040000}"/>
    <cellStyle name="Обычный 5 3 2 2 2" xfId="295" xr:uid="{00000000-0005-0000-0000-000070040000}"/>
    <cellStyle name="Обычный 5 3 2 2 2 2" xfId="563" xr:uid="{00000000-0005-0000-0000-000071040000}"/>
    <cellStyle name="Обычный 5 3 2 2 2 2 2" xfId="1106" xr:uid="{00000000-0005-0000-0000-000072040000}"/>
    <cellStyle name="Обычный 5 3 2 2 2 2 2 2" xfId="2720" xr:uid="{00000000-0005-0000-0000-000073040000}"/>
    <cellStyle name="Обычный 5 3 2 2 2 2 3" xfId="1642" xr:uid="{00000000-0005-0000-0000-000074040000}"/>
    <cellStyle name="Обычный 5 3 2 2 2 2 3 2" xfId="3256" xr:uid="{00000000-0005-0000-0000-000075040000}"/>
    <cellStyle name="Обычный 5 3 2 2 2 2 4" xfId="2178" xr:uid="{00000000-0005-0000-0000-000076040000}"/>
    <cellStyle name="Обычный 5 3 2 2 2 3" xfId="838" xr:uid="{00000000-0005-0000-0000-000077040000}"/>
    <cellStyle name="Обычный 5 3 2 2 2 3 2" xfId="2452" xr:uid="{00000000-0005-0000-0000-000078040000}"/>
    <cellStyle name="Обычный 5 3 2 2 2 4" xfId="1374" xr:uid="{00000000-0005-0000-0000-000079040000}"/>
    <cellStyle name="Обычный 5 3 2 2 2 4 2" xfId="2988" xr:uid="{00000000-0005-0000-0000-00007A040000}"/>
    <cellStyle name="Обычный 5 3 2 2 2 5" xfId="1910" xr:uid="{00000000-0005-0000-0000-00007B040000}"/>
    <cellStyle name="Обычный 5 3 2 2 3" xfId="431" xr:uid="{00000000-0005-0000-0000-00007C040000}"/>
    <cellStyle name="Обычный 5 3 2 2 3 2" xfId="974" xr:uid="{00000000-0005-0000-0000-00007D040000}"/>
    <cellStyle name="Обычный 5 3 2 2 3 2 2" xfId="2588" xr:uid="{00000000-0005-0000-0000-00007E040000}"/>
    <cellStyle name="Обычный 5 3 2 2 3 3" xfId="1510" xr:uid="{00000000-0005-0000-0000-00007F040000}"/>
    <cellStyle name="Обычный 5 3 2 2 3 3 2" xfId="3124" xr:uid="{00000000-0005-0000-0000-000080040000}"/>
    <cellStyle name="Обычный 5 3 2 2 3 4" xfId="2046" xr:uid="{00000000-0005-0000-0000-000081040000}"/>
    <cellStyle name="Обычный 5 3 2 2 4" xfId="706" xr:uid="{00000000-0005-0000-0000-000082040000}"/>
    <cellStyle name="Обычный 5 3 2 2 4 2" xfId="2320" xr:uid="{00000000-0005-0000-0000-000083040000}"/>
    <cellStyle name="Обычный 5 3 2 2 5" xfId="1242" xr:uid="{00000000-0005-0000-0000-000084040000}"/>
    <cellStyle name="Обычный 5 3 2 2 5 2" xfId="2856" xr:uid="{00000000-0005-0000-0000-000085040000}"/>
    <cellStyle name="Обычный 5 3 2 2 6" xfId="1778" xr:uid="{00000000-0005-0000-0000-000086040000}"/>
    <cellStyle name="Обычный 5 3 2 3" xfId="108" xr:uid="{00000000-0005-0000-0000-000087040000}"/>
    <cellStyle name="Обычный 5 3 2 3 2" xfId="250" xr:uid="{00000000-0005-0000-0000-000088040000}"/>
    <cellStyle name="Обычный 5 3 2 3 2 2" xfId="519" xr:uid="{00000000-0005-0000-0000-000089040000}"/>
    <cellStyle name="Обычный 5 3 2 3 2 2 2" xfId="1062" xr:uid="{00000000-0005-0000-0000-00008A040000}"/>
    <cellStyle name="Обычный 5 3 2 3 2 2 2 2" xfId="2676" xr:uid="{00000000-0005-0000-0000-00008B040000}"/>
    <cellStyle name="Обычный 5 3 2 3 2 2 3" xfId="1598" xr:uid="{00000000-0005-0000-0000-00008C040000}"/>
    <cellStyle name="Обычный 5 3 2 3 2 2 3 2" xfId="3212" xr:uid="{00000000-0005-0000-0000-00008D040000}"/>
    <cellStyle name="Обычный 5 3 2 3 2 2 4" xfId="2134" xr:uid="{00000000-0005-0000-0000-00008E040000}"/>
    <cellStyle name="Обычный 5 3 2 3 2 3" xfId="794" xr:uid="{00000000-0005-0000-0000-00008F040000}"/>
    <cellStyle name="Обычный 5 3 2 3 2 3 2" xfId="2408" xr:uid="{00000000-0005-0000-0000-000090040000}"/>
    <cellStyle name="Обычный 5 3 2 3 2 4" xfId="1330" xr:uid="{00000000-0005-0000-0000-000091040000}"/>
    <cellStyle name="Обычный 5 3 2 3 2 4 2" xfId="2944" xr:uid="{00000000-0005-0000-0000-000092040000}"/>
    <cellStyle name="Обычный 5 3 2 3 2 5" xfId="1866" xr:uid="{00000000-0005-0000-0000-000093040000}"/>
    <cellStyle name="Обычный 5 3 2 3 3" xfId="387" xr:uid="{00000000-0005-0000-0000-000094040000}"/>
    <cellStyle name="Обычный 5 3 2 3 3 2" xfId="930" xr:uid="{00000000-0005-0000-0000-000095040000}"/>
    <cellStyle name="Обычный 5 3 2 3 3 2 2" xfId="2544" xr:uid="{00000000-0005-0000-0000-000096040000}"/>
    <cellStyle name="Обычный 5 3 2 3 3 3" xfId="1466" xr:uid="{00000000-0005-0000-0000-000097040000}"/>
    <cellStyle name="Обычный 5 3 2 3 3 3 2" xfId="3080" xr:uid="{00000000-0005-0000-0000-000098040000}"/>
    <cellStyle name="Обычный 5 3 2 3 3 4" xfId="2002" xr:uid="{00000000-0005-0000-0000-000099040000}"/>
    <cellStyle name="Обычный 5 3 2 3 4" xfId="661" xr:uid="{00000000-0005-0000-0000-00009A040000}"/>
    <cellStyle name="Обычный 5 3 2 3 4 2" xfId="2275" xr:uid="{00000000-0005-0000-0000-00009B040000}"/>
    <cellStyle name="Обычный 5 3 2 3 5" xfId="1198" xr:uid="{00000000-0005-0000-0000-00009C040000}"/>
    <cellStyle name="Обычный 5 3 2 3 5 2" xfId="2812" xr:uid="{00000000-0005-0000-0000-00009D040000}"/>
    <cellStyle name="Обычный 5 3 2 3 6" xfId="1734" xr:uid="{00000000-0005-0000-0000-00009E040000}"/>
    <cellStyle name="Обычный 5 3 2 4" xfId="205" xr:uid="{00000000-0005-0000-0000-00009F040000}"/>
    <cellStyle name="Обычный 5 3 2 4 2" xfId="475" xr:uid="{00000000-0005-0000-0000-0000A0040000}"/>
    <cellStyle name="Обычный 5 3 2 4 2 2" xfId="1018" xr:uid="{00000000-0005-0000-0000-0000A1040000}"/>
    <cellStyle name="Обычный 5 3 2 4 2 2 2" xfId="2632" xr:uid="{00000000-0005-0000-0000-0000A2040000}"/>
    <cellStyle name="Обычный 5 3 2 4 2 3" xfId="1554" xr:uid="{00000000-0005-0000-0000-0000A3040000}"/>
    <cellStyle name="Обычный 5 3 2 4 2 3 2" xfId="3168" xr:uid="{00000000-0005-0000-0000-0000A4040000}"/>
    <cellStyle name="Обычный 5 3 2 4 2 4" xfId="2090" xr:uid="{00000000-0005-0000-0000-0000A5040000}"/>
    <cellStyle name="Обычный 5 3 2 4 3" xfId="750" xr:uid="{00000000-0005-0000-0000-0000A6040000}"/>
    <cellStyle name="Обычный 5 3 2 4 3 2" xfId="2364" xr:uid="{00000000-0005-0000-0000-0000A7040000}"/>
    <cellStyle name="Обычный 5 3 2 4 4" xfId="1286" xr:uid="{00000000-0005-0000-0000-0000A8040000}"/>
    <cellStyle name="Обычный 5 3 2 4 4 2" xfId="2900" xr:uid="{00000000-0005-0000-0000-0000A9040000}"/>
    <cellStyle name="Обычный 5 3 2 4 5" xfId="1822" xr:uid="{00000000-0005-0000-0000-0000AA040000}"/>
    <cellStyle name="Обычный 5 3 2 5" xfId="343" xr:uid="{00000000-0005-0000-0000-0000AB040000}"/>
    <cellStyle name="Обычный 5 3 2 5 2" xfId="886" xr:uid="{00000000-0005-0000-0000-0000AC040000}"/>
    <cellStyle name="Обычный 5 3 2 5 2 2" xfId="2500" xr:uid="{00000000-0005-0000-0000-0000AD040000}"/>
    <cellStyle name="Обычный 5 3 2 5 3" xfId="1422" xr:uid="{00000000-0005-0000-0000-0000AE040000}"/>
    <cellStyle name="Обычный 5 3 2 5 3 2" xfId="3036" xr:uid="{00000000-0005-0000-0000-0000AF040000}"/>
    <cellStyle name="Обычный 5 3 2 5 4" xfId="1958" xr:uid="{00000000-0005-0000-0000-0000B0040000}"/>
    <cellStyle name="Обычный 5 3 2 6" xfId="616" xr:uid="{00000000-0005-0000-0000-0000B1040000}"/>
    <cellStyle name="Обычный 5 3 2 6 2" xfId="2230" xr:uid="{00000000-0005-0000-0000-0000B2040000}"/>
    <cellStyle name="Обычный 5 3 2 7" xfId="1154" xr:uid="{00000000-0005-0000-0000-0000B3040000}"/>
    <cellStyle name="Обычный 5 3 2 7 2" xfId="2768" xr:uid="{00000000-0005-0000-0000-0000B4040000}"/>
    <cellStyle name="Обычный 5 3 2 8" xfId="1690" xr:uid="{00000000-0005-0000-0000-0000B5040000}"/>
    <cellStyle name="Обычный 5 3 3" xfId="138" xr:uid="{00000000-0005-0000-0000-0000B6040000}"/>
    <cellStyle name="Обычный 5 3 3 2" xfId="277" xr:uid="{00000000-0005-0000-0000-0000B7040000}"/>
    <cellStyle name="Обычный 5 3 3 2 2" xfId="545" xr:uid="{00000000-0005-0000-0000-0000B8040000}"/>
    <cellStyle name="Обычный 5 3 3 2 2 2" xfId="1088" xr:uid="{00000000-0005-0000-0000-0000B9040000}"/>
    <cellStyle name="Обычный 5 3 3 2 2 2 2" xfId="2702" xr:uid="{00000000-0005-0000-0000-0000BA040000}"/>
    <cellStyle name="Обычный 5 3 3 2 2 3" xfId="1624" xr:uid="{00000000-0005-0000-0000-0000BB040000}"/>
    <cellStyle name="Обычный 5 3 3 2 2 3 2" xfId="3238" xr:uid="{00000000-0005-0000-0000-0000BC040000}"/>
    <cellStyle name="Обычный 5 3 3 2 2 4" xfId="2160" xr:uid="{00000000-0005-0000-0000-0000BD040000}"/>
    <cellStyle name="Обычный 5 3 3 2 3" xfId="820" xr:uid="{00000000-0005-0000-0000-0000BE040000}"/>
    <cellStyle name="Обычный 5 3 3 2 3 2" xfId="2434" xr:uid="{00000000-0005-0000-0000-0000BF040000}"/>
    <cellStyle name="Обычный 5 3 3 2 4" xfId="1356" xr:uid="{00000000-0005-0000-0000-0000C0040000}"/>
    <cellStyle name="Обычный 5 3 3 2 4 2" xfId="2970" xr:uid="{00000000-0005-0000-0000-0000C1040000}"/>
    <cellStyle name="Обычный 5 3 3 2 5" xfId="1892" xr:uid="{00000000-0005-0000-0000-0000C2040000}"/>
    <cellStyle name="Обычный 5 3 3 3" xfId="413" xr:uid="{00000000-0005-0000-0000-0000C3040000}"/>
    <cellStyle name="Обычный 5 3 3 3 2" xfId="956" xr:uid="{00000000-0005-0000-0000-0000C4040000}"/>
    <cellStyle name="Обычный 5 3 3 3 2 2" xfId="2570" xr:uid="{00000000-0005-0000-0000-0000C5040000}"/>
    <cellStyle name="Обычный 5 3 3 3 3" xfId="1492" xr:uid="{00000000-0005-0000-0000-0000C6040000}"/>
    <cellStyle name="Обычный 5 3 3 3 3 2" xfId="3106" xr:uid="{00000000-0005-0000-0000-0000C7040000}"/>
    <cellStyle name="Обычный 5 3 3 3 4" xfId="2028" xr:uid="{00000000-0005-0000-0000-0000C8040000}"/>
    <cellStyle name="Обычный 5 3 3 4" xfId="688" xr:uid="{00000000-0005-0000-0000-0000C9040000}"/>
    <cellStyle name="Обычный 5 3 3 4 2" xfId="2302" xr:uid="{00000000-0005-0000-0000-0000CA040000}"/>
    <cellStyle name="Обычный 5 3 3 5" xfId="1224" xr:uid="{00000000-0005-0000-0000-0000CB040000}"/>
    <cellStyle name="Обычный 5 3 3 5 2" xfId="2838" xr:uid="{00000000-0005-0000-0000-0000CC040000}"/>
    <cellStyle name="Обычный 5 3 3 6" xfId="1760" xr:uid="{00000000-0005-0000-0000-0000CD040000}"/>
    <cellStyle name="Обычный 5 3 4" xfId="90" xr:uid="{00000000-0005-0000-0000-0000CE040000}"/>
    <cellStyle name="Обычный 5 3 4 2" xfId="232" xr:uid="{00000000-0005-0000-0000-0000CF040000}"/>
    <cellStyle name="Обычный 5 3 4 2 2" xfId="501" xr:uid="{00000000-0005-0000-0000-0000D0040000}"/>
    <cellStyle name="Обычный 5 3 4 2 2 2" xfId="1044" xr:uid="{00000000-0005-0000-0000-0000D1040000}"/>
    <cellStyle name="Обычный 5 3 4 2 2 2 2" xfId="2658" xr:uid="{00000000-0005-0000-0000-0000D2040000}"/>
    <cellStyle name="Обычный 5 3 4 2 2 3" xfId="1580" xr:uid="{00000000-0005-0000-0000-0000D3040000}"/>
    <cellStyle name="Обычный 5 3 4 2 2 3 2" xfId="3194" xr:uid="{00000000-0005-0000-0000-0000D4040000}"/>
    <cellStyle name="Обычный 5 3 4 2 2 4" xfId="2116" xr:uid="{00000000-0005-0000-0000-0000D5040000}"/>
    <cellStyle name="Обычный 5 3 4 2 3" xfId="776" xr:uid="{00000000-0005-0000-0000-0000D6040000}"/>
    <cellStyle name="Обычный 5 3 4 2 3 2" xfId="2390" xr:uid="{00000000-0005-0000-0000-0000D7040000}"/>
    <cellStyle name="Обычный 5 3 4 2 4" xfId="1312" xr:uid="{00000000-0005-0000-0000-0000D8040000}"/>
    <cellStyle name="Обычный 5 3 4 2 4 2" xfId="2926" xr:uid="{00000000-0005-0000-0000-0000D9040000}"/>
    <cellStyle name="Обычный 5 3 4 2 5" xfId="1848" xr:uid="{00000000-0005-0000-0000-0000DA040000}"/>
    <cellStyle name="Обычный 5 3 4 3" xfId="369" xr:uid="{00000000-0005-0000-0000-0000DB040000}"/>
    <cellStyle name="Обычный 5 3 4 3 2" xfId="912" xr:uid="{00000000-0005-0000-0000-0000DC040000}"/>
    <cellStyle name="Обычный 5 3 4 3 2 2" xfId="2526" xr:uid="{00000000-0005-0000-0000-0000DD040000}"/>
    <cellStyle name="Обычный 5 3 4 3 3" xfId="1448" xr:uid="{00000000-0005-0000-0000-0000DE040000}"/>
    <cellStyle name="Обычный 5 3 4 3 3 2" xfId="3062" xr:uid="{00000000-0005-0000-0000-0000DF040000}"/>
    <cellStyle name="Обычный 5 3 4 3 4" xfId="1984" xr:uid="{00000000-0005-0000-0000-0000E0040000}"/>
    <cellStyle name="Обычный 5 3 4 4" xfId="643" xr:uid="{00000000-0005-0000-0000-0000E1040000}"/>
    <cellStyle name="Обычный 5 3 4 4 2" xfId="2257" xr:uid="{00000000-0005-0000-0000-0000E2040000}"/>
    <cellStyle name="Обычный 5 3 4 5" xfId="1180" xr:uid="{00000000-0005-0000-0000-0000E3040000}"/>
    <cellStyle name="Обычный 5 3 4 5 2" xfId="2794" xr:uid="{00000000-0005-0000-0000-0000E4040000}"/>
    <cellStyle name="Обычный 5 3 4 6" xfId="1716" xr:uid="{00000000-0005-0000-0000-0000E5040000}"/>
    <cellStyle name="Обычный 5 3 5" xfId="187" xr:uid="{00000000-0005-0000-0000-0000E6040000}"/>
    <cellStyle name="Обычный 5 3 5 2" xfId="457" xr:uid="{00000000-0005-0000-0000-0000E7040000}"/>
    <cellStyle name="Обычный 5 3 5 2 2" xfId="1000" xr:uid="{00000000-0005-0000-0000-0000E8040000}"/>
    <cellStyle name="Обычный 5 3 5 2 2 2" xfId="2614" xr:uid="{00000000-0005-0000-0000-0000E9040000}"/>
    <cellStyle name="Обычный 5 3 5 2 3" xfId="1536" xr:uid="{00000000-0005-0000-0000-0000EA040000}"/>
    <cellStyle name="Обычный 5 3 5 2 3 2" xfId="3150" xr:uid="{00000000-0005-0000-0000-0000EB040000}"/>
    <cellStyle name="Обычный 5 3 5 2 4" xfId="2072" xr:uid="{00000000-0005-0000-0000-0000EC040000}"/>
    <cellStyle name="Обычный 5 3 5 3" xfId="732" xr:uid="{00000000-0005-0000-0000-0000ED040000}"/>
    <cellStyle name="Обычный 5 3 5 3 2" xfId="2346" xr:uid="{00000000-0005-0000-0000-0000EE040000}"/>
    <cellStyle name="Обычный 5 3 5 4" xfId="1268" xr:uid="{00000000-0005-0000-0000-0000EF040000}"/>
    <cellStyle name="Обычный 5 3 5 4 2" xfId="2882" xr:uid="{00000000-0005-0000-0000-0000F0040000}"/>
    <cellStyle name="Обычный 5 3 5 5" xfId="1804" xr:uid="{00000000-0005-0000-0000-0000F1040000}"/>
    <cellStyle name="Обычный 5 3 6" xfId="325" xr:uid="{00000000-0005-0000-0000-0000F2040000}"/>
    <cellStyle name="Обычный 5 3 6 2" xfId="868" xr:uid="{00000000-0005-0000-0000-0000F3040000}"/>
    <cellStyle name="Обычный 5 3 6 2 2" xfId="2482" xr:uid="{00000000-0005-0000-0000-0000F4040000}"/>
    <cellStyle name="Обычный 5 3 6 3" xfId="1404" xr:uid="{00000000-0005-0000-0000-0000F5040000}"/>
    <cellStyle name="Обычный 5 3 6 3 2" xfId="3018" xr:uid="{00000000-0005-0000-0000-0000F6040000}"/>
    <cellStyle name="Обычный 5 3 6 4" xfId="1940" xr:uid="{00000000-0005-0000-0000-0000F7040000}"/>
    <cellStyle name="Обычный 5 3 7" xfId="598" xr:uid="{00000000-0005-0000-0000-0000F8040000}"/>
    <cellStyle name="Обычный 5 3 7 2" xfId="2212" xr:uid="{00000000-0005-0000-0000-0000F9040000}"/>
    <cellStyle name="Обычный 5 3 8" xfId="1136" xr:uid="{00000000-0005-0000-0000-0000FA040000}"/>
    <cellStyle name="Обычный 5 3 8 2" xfId="2750" xr:uid="{00000000-0005-0000-0000-0000FB040000}"/>
    <cellStyle name="Обычный 5 3 9" xfId="1672" xr:uid="{00000000-0005-0000-0000-0000FC040000}"/>
    <cellStyle name="Обычный 5 4" xfId="32" xr:uid="{00000000-0005-0000-0000-0000FD040000}"/>
    <cellStyle name="Обычный 5 4 2" xfId="127" xr:uid="{00000000-0005-0000-0000-0000FE040000}"/>
    <cellStyle name="Обычный 5 4 2 2" xfId="268" xr:uid="{00000000-0005-0000-0000-0000FF040000}"/>
    <cellStyle name="Обычный 5 4 2 2 2" xfId="537" xr:uid="{00000000-0005-0000-0000-000000050000}"/>
    <cellStyle name="Обычный 5 4 2 2 2 2" xfId="1080" xr:uid="{00000000-0005-0000-0000-000001050000}"/>
    <cellStyle name="Обычный 5 4 2 2 2 2 2" xfId="2694" xr:uid="{00000000-0005-0000-0000-000002050000}"/>
    <cellStyle name="Обычный 5 4 2 2 2 3" xfId="1616" xr:uid="{00000000-0005-0000-0000-000003050000}"/>
    <cellStyle name="Обычный 5 4 2 2 2 3 2" xfId="3230" xr:uid="{00000000-0005-0000-0000-000004050000}"/>
    <cellStyle name="Обычный 5 4 2 2 2 4" xfId="2152" xr:uid="{00000000-0005-0000-0000-000005050000}"/>
    <cellStyle name="Обычный 5 4 2 2 3" xfId="812" xr:uid="{00000000-0005-0000-0000-000006050000}"/>
    <cellStyle name="Обычный 5 4 2 2 3 2" xfId="2426" xr:uid="{00000000-0005-0000-0000-000007050000}"/>
    <cellStyle name="Обычный 5 4 2 2 4" xfId="1348" xr:uid="{00000000-0005-0000-0000-000008050000}"/>
    <cellStyle name="Обычный 5 4 2 2 4 2" xfId="2962" xr:uid="{00000000-0005-0000-0000-000009050000}"/>
    <cellStyle name="Обычный 5 4 2 2 5" xfId="1884" xr:uid="{00000000-0005-0000-0000-00000A050000}"/>
    <cellStyle name="Обычный 5 4 2 3" xfId="405" xr:uid="{00000000-0005-0000-0000-00000B050000}"/>
    <cellStyle name="Обычный 5 4 2 3 2" xfId="948" xr:uid="{00000000-0005-0000-0000-00000C050000}"/>
    <cellStyle name="Обычный 5 4 2 3 2 2" xfId="2562" xr:uid="{00000000-0005-0000-0000-00000D050000}"/>
    <cellStyle name="Обычный 5 4 2 3 3" xfId="1484" xr:uid="{00000000-0005-0000-0000-00000E050000}"/>
    <cellStyle name="Обычный 5 4 2 3 3 2" xfId="3098" xr:uid="{00000000-0005-0000-0000-00000F050000}"/>
    <cellStyle name="Обычный 5 4 2 3 4" xfId="2020" xr:uid="{00000000-0005-0000-0000-000010050000}"/>
    <cellStyle name="Обычный 5 4 2 4" xfId="679" xr:uid="{00000000-0005-0000-0000-000011050000}"/>
    <cellStyle name="Обычный 5 4 2 4 2" xfId="2293" xr:uid="{00000000-0005-0000-0000-000012050000}"/>
    <cellStyle name="Обычный 5 4 2 5" xfId="1216" xr:uid="{00000000-0005-0000-0000-000013050000}"/>
    <cellStyle name="Обычный 5 4 2 5 2" xfId="2830" xr:uid="{00000000-0005-0000-0000-000014050000}"/>
    <cellStyle name="Обычный 5 4 2 6" xfId="1752" xr:uid="{00000000-0005-0000-0000-000015050000}"/>
    <cellStyle name="Обычный 5 4 3" xfId="79" xr:uid="{00000000-0005-0000-0000-000016050000}"/>
    <cellStyle name="Обычный 5 4 3 2" xfId="223" xr:uid="{00000000-0005-0000-0000-000017050000}"/>
    <cellStyle name="Обычный 5 4 3 2 2" xfId="493" xr:uid="{00000000-0005-0000-0000-000018050000}"/>
    <cellStyle name="Обычный 5 4 3 2 2 2" xfId="1036" xr:uid="{00000000-0005-0000-0000-000019050000}"/>
    <cellStyle name="Обычный 5 4 3 2 2 2 2" xfId="2650" xr:uid="{00000000-0005-0000-0000-00001A050000}"/>
    <cellStyle name="Обычный 5 4 3 2 2 3" xfId="1572" xr:uid="{00000000-0005-0000-0000-00001B050000}"/>
    <cellStyle name="Обычный 5 4 3 2 2 3 2" xfId="3186" xr:uid="{00000000-0005-0000-0000-00001C050000}"/>
    <cellStyle name="Обычный 5 4 3 2 2 4" xfId="2108" xr:uid="{00000000-0005-0000-0000-00001D050000}"/>
    <cellStyle name="Обычный 5 4 3 2 3" xfId="768" xr:uid="{00000000-0005-0000-0000-00001E050000}"/>
    <cellStyle name="Обычный 5 4 3 2 3 2" xfId="2382" xr:uid="{00000000-0005-0000-0000-00001F050000}"/>
    <cellStyle name="Обычный 5 4 3 2 4" xfId="1304" xr:uid="{00000000-0005-0000-0000-000020050000}"/>
    <cellStyle name="Обычный 5 4 3 2 4 2" xfId="2918" xr:uid="{00000000-0005-0000-0000-000021050000}"/>
    <cellStyle name="Обычный 5 4 3 2 5" xfId="1840" xr:uid="{00000000-0005-0000-0000-000022050000}"/>
    <cellStyle name="Обычный 5 4 3 3" xfId="361" xr:uid="{00000000-0005-0000-0000-000023050000}"/>
    <cellStyle name="Обычный 5 4 3 3 2" xfId="904" xr:uid="{00000000-0005-0000-0000-000024050000}"/>
    <cellStyle name="Обычный 5 4 3 3 2 2" xfId="2518" xr:uid="{00000000-0005-0000-0000-000025050000}"/>
    <cellStyle name="Обычный 5 4 3 3 3" xfId="1440" xr:uid="{00000000-0005-0000-0000-000026050000}"/>
    <cellStyle name="Обычный 5 4 3 3 3 2" xfId="3054" xr:uid="{00000000-0005-0000-0000-000027050000}"/>
    <cellStyle name="Обычный 5 4 3 3 4" xfId="1976" xr:uid="{00000000-0005-0000-0000-000028050000}"/>
    <cellStyle name="Обычный 5 4 3 4" xfId="634" xr:uid="{00000000-0005-0000-0000-000029050000}"/>
    <cellStyle name="Обычный 5 4 3 4 2" xfId="2248" xr:uid="{00000000-0005-0000-0000-00002A050000}"/>
    <cellStyle name="Обычный 5 4 3 5" xfId="1172" xr:uid="{00000000-0005-0000-0000-00002B050000}"/>
    <cellStyle name="Обычный 5 4 3 5 2" xfId="2786" xr:uid="{00000000-0005-0000-0000-00002C050000}"/>
    <cellStyle name="Обычный 5 4 3 6" xfId="1708" xr:uid="{00000000-0005-0000-0000-00002D050000}"/>
    <cellStyle name="Обычный 5 4 4" xfId="178" xr:uid="{00000000-0005-0000-0000-00002E050000}"/>
    <cellStyle name="Обычный 5 4 4 2" xfId="449" xr:uid="{00000000-0005-0000-0000-00002F050000}"/>
    <cellStyle name="Обычный 5 4 4 2 2" xfId="992" xr:uid="{00000000-0005-0000-0000-000030050000}"/>
    <cellStyle name="Обычный 5 4 4 2 2 2" xfId="2606" xr:uid="{00000000-0005-0000-0000-000031050000}"/>
    <cellStyle name="Обычный 5 4 4 2 3" xfId="1528" xr:uid="{00000000-0005-0000-0000-000032050000}"/>
    <cellStyle name="Обычный 5 4 4 2 3 2" xfId="3142" xr:uid="{00000000-0005-0000-0000-000033050000}"/>
    <cellStyle name="Обычный 5 4 4 2 4" xfId="2064" xr:uid="{00000000-0005-0000-0000-000034050000}"/>
    <cellStyle name="Обычный 5 4 4 3" xfId="724" xr:uid="{00000000-0005-0000-0000-000035050000}"/>
    <cellStyle name="Обычный 5 4 4 3 2" xfId="2338" xr:uid="{00000000-0005-0000-0000-000036050000}"/>
    <cellStyle name="Обычный 5 4 4 4" xfId="1260" xr:uid="{00000000-0005-0000-0000-000037050000}"/>
    <cellStyle name="Обычный 5 4 4 4 2" xfId="2874" xr:uid="{00000000-0005-0000-0000-000038050000}"/>
    <cellStyle name="Обычный 5 4 4 5" xfId="1796" xr:uid="{00000000-0005-0000-0000-000039050000}"/>
    <cellStyle name="Обычный 5 4 5" xfId="317" xr:uid="{00000000-0005-0000-0000-00003A050000}"/>
    <cellStyle name="Обычный 5 4 5 2" xfId="860" xr:uid="{00000000-0005-0000-0000-00003B050000}"/>
    <cellStyle name="Обычный 5 4 5 2 2" xfId="2474" xr:uid="{00000000-0005-0000-0000-00003C050000}"/>
    <cellStyle name="Обычный 5 4 5 3" xfId="1396" xr:uid="{00000000-0005-0000-0000-00003D050000}"/>
    <cellStyle name="Обычный 5 4 5 3 2" xfId="3010" xr:uid="{00000000-0005-0000-0000-00003E050000}"/>
    <cellStyle name="Обычный 5 4 5 4" xfId="1932" xr:uid="{00000000-0005-0000-0000-00003F050000}"/>
    <cellStyle name="Обычный 5 4 6" xfId="589" xr:uid="{00000000-0005-0000-0000-000040050000}"/>
    <cellStyle name="Обычный 5 4 6 2" xfId="2203" xr:uid="{00000000-0005-0000-0000-000041050000}"/>
    <cellStyle name="Обычный 5 4 7" xfId="1128" xr:uid="{00000000-0005-0000-0000-000042050000}"/>
    <cellStyle name="Обычный 5 4 7 2" xfId="2742" xr:uid="{00000000-0005-0000-0000-000043050000}"/>
    <cellStyle name="Обычный 5 4 8" xfId="1664" xr:uid="{00000000-0005-0000-0000-000044050000}"/>
    <cellStyle name="Обычный 5 5" xfId="52" xr:uid="{00000000-0005-0000-0000-000045050000}"/>
    <cellStyle name="Обычный 5 5 2" xfId="147" xr:uid="{00000000-0005-0000-0000-000046050000}"/>
    <cellStyle name="Обычный 5 5 2 2" xfId="286" xr:uid="{00000000-0005-0000-0000-000047050000}"/>
    <cellStyle name="Обычный 5 5 2 2 2" xfId="554" xr:uid="{00000000-0005-0000-0000-000048050000}"/>
    <cellStyle name="Обычный 5 5 2 2 2 2" xfId="1097" xr:uid="{00000000-0005-0000-0000-000049050000}"/>
    <cellStyle name="Обычный 5 5 2 2 2 2 2" xfId="2711" xr:uid="{00000000-0005-0000-0000-00004A050000}"/>
    <cellStyle name="Обычный 5 5 2 2 2 3" xfId="1633" xr:uid="{00000000-0005-0000-0000-00004B050000}"/>
    <cellStyle name="Обычный 5 5 2 2 2 3 2" xfId="3247" xr:uid="{00000000-0005-0000-0000-00004C050000}"/>
    <cellStyle name="Обычный 5 5 2 2 2 4" xfId="2169" xr:uid="{00000000-0005-0000-0000-00004D050000}"/>
    <cellStyle name="Обычный 5 5 2 2 3" xfId="829" xr:uid="{00000000-0005-0000-0000-00004E050000}"/>
    <cellStyle name="Обычный 5 5 2 2 3 2" xfId="2443" xr:uid="{00000000-0005-0000-0000-00004F050000}"/>
    <cellStyle name="Обычный 5 5 2 2 4" xfId="1365" xr:uid="{00000000-0005-0000-0000-000050050000}"/>
    <cellStyle name="Обычный 5 5 2 2 4 2" xfId="2979" xr:uid="{00000000-0005-0000-0000-000051050000}"/>
    <cellStyle name="Обычный 5 5 2 2 5" xfId="1901" xr:uid="{00000000-0005-0000-0000-000052050000}"/>
    <cellStyle name="Обычный 5 5 2 3" xfId="422" xr:uid="{00000000-0005-0000-0000-000053050000}"/>
    <cellStyle name="Обычный 5 5 2 3 2" xfId="965" xr:uid="{00000000-0005-0000-0000-000054050000}"/>
    <cellStyle name="Обычный 5 5 2 3 2 2" xfId="2579" xr:uid="{00000000-0005-0000-0000-000055050000}"/>
    <cellStyle name="Обычный 5 5 2 3 3" xfId="1501" xr:uid="{00000000-0005-0000-0000-000056050000}"/>
    <cellStyle name="Обычный 5 5 2 3 3 2" xfId="3115" xr:uid="{00000000-0005-0000-0000-000057050000}"/>
    <cellStyle name="Обычный 5 5 2 3 4" xfId="2037" xr:uid="{00000000-0005-0000-0000-000058050000}"/>
    <cellStyle name="Обычный 5 5 2 4" xfId="697" xr:uid="{00000000-0005-0000-0000-000059050000}"/>
    <cellStyle name="Обычный 5 5 2 4 2" xfId="2311" xr:uid="{00000000-0005-0000-0000-00005A050000}"/>
    <cellStyle name="Обычный 5 5 2 5" xfId="1233" xr:uid="{00000000-0005-0000-0000-00005B050000}"/>
    <cellStyle name="Обычный 5 5 2 5 2" xfId="2847" xr:uid="{00000000-0005-0000-0000-00005C050000}"/>
    <cellStyle name="Обычный 5 5 2 6" xfId="1769" xr:uid="{00000000-0005-0000-0000-00005D050000}"/>
    <cellStyle name="Обычный 5 5 3" xfId="99" xr:uid="{00000000-0005-0000-0000-00005E050000}"/>
    <cellStyle name="Обычный 5 5 3 2" xfId="241" xr:uid="{00000000-0005-0000-0000-00005F050000}"/>
    <cellStyle name="Обычный 5 5 3 2 2" xfId="510" xr:uid="{00000000-0005-0000-0000-000060050000}"/>
    <cellStyle name="Обычный 5 5 3 2 2 2" xfId="1053" xr:uid="{00000000-0005-0000-0000-000061050000}"/>
    <cellStyle name="Обычный 5 5 3 2 2 2 2" xfId="2667" xr:uid="{00000000-0005-0000-0000-000062050000}"/>
    <cellStyle name="Обычный 5 5 3 2 2 3" xfId="1589" xr:uid="{00000000-0005-0000-0000-000063050000}"/>
    <cellStyle name="Обычный 5 5 3 2 2 3 2" xfId="3203" xr:uid="{00000000-0005-0000-0000-000064050000}"/>
    <cellStyle name="Обычный 5 5 3 2 2 4" xfId="2125" xr:uid="{00000000-0005-0000-0000-000065050000}"/>
    <cellStyle name="Обычный 5 5 3 2 3" xfId="785" xr:uid="{00000000-0005-0000-0000-000066050000}"/>
    <cellStyle name="Обычный 5 5 3 2 3 2" xfId="2399" xr:uid="{00000000-0005-0000-0000-000067050000}"/>
    <cellStyle name="Обычный 5 5 3 2 4" xfId="1321" xr:uid="{00000000-0005-0000-0000-000068050000}"/>
    <cellStyle name="Обычный 5 5 3 2 4 2" xfId="2935" xr:uid="{00000000-0005-0000-0000-000069050000}"/>
    <cellStyle name="Обычный 5 5 3 2 5" xfId="1857" xr:uid="{00000000-0005-0000-0000-00006A050000}"/>
    <cellStyle name="Обычный 5 5 3 3" xfId="378" xr:uid="{00000000-0005-0000-0000-00006B050000}"/>
    <cellStyle name="Обычный 5 5 3 3 2" xfId="921" xr:uid="{00000000-0005-0000-0000-00006C050000}"/>
    <cellStyle name="Обычный 5 5 3 3 2 2" xfId="2535" xr:uid="{00000000-0005-0000-0000-00006D050000}"/>
    <cellStyle name="Обычный 5 5 3 3 3" xfId="1457" xr:uid="{00000000-0005-0000-0000-00006E050000}"/>
    <cellStyle name="Обычный 5 5 3 3 3 2" xfId="3071" xr:uid="{00000000-0005-0000-0000-00006F050000}"/>
    <cellStyle name="Обычный 5 5 3 3 4" xfId="1993" xr:uid="{00000000-0005-0000-0000-000070050000}"/>
    <cellStyle name="Обычный 5 5 3 4" xfId="652" xr:uid="{00000000-0005-0000-0000-000071050000}"/>
    <cellStyle name="Обычный 5 5 3 4 2" xfId="2266" xr:uid="{00000000-0005-0000-0000-000072050000}"/>
    <cellStyle name="Обычный 5 5 3 5" xfId="1189" xr:uid="{00000000-0005-0000-0000-000073050000}"/>
    <cellStyle name="Обычный 5 5 3 5 2" xfId="2803" xr:uid="{00000000-0005-0000-0000-000074050000}"/>
    <cellStyle name="Обычный 5 5 3 6" xfId="1725" xr:uid="{00000000-0005-0000-0000-000075050000}"/>
    <cellStyle name="Обычный 5 5 4" xfId="196" xr:uid="{00000000-0005-0000-0000-000076050000}"/>
    <cellStyle name="Обычный 5 5 4 2" xfId="466" xr:uid="{00000000-0005-0000-0000-000077050000}"/>
    <cellStyle name="Обычный 5 5 4 2 2" xfId="1009" xr:uid="{00000000-0005-0000-0000-000078050000}"/>
    <cellStyle name="Обычный 5 5 4 2 2 2" xfId="2623" xr:uid="{00000000-0005-0000-0000-000079050000}"/>
    <cellStyle name="Обычный 5 5 4 2 3" xfId="1545" xr:uid="{00000000-0005-0000-0000-00007A050000}"/>
    <cellStyle name="Обычный 5 5 4 2 3 2" xfId="3159" xr:uid="{00000000-0005-0000-0000-00007B050000}"/>
    <cellStyle name="Обычный 5 5 4 2 4" xfId="2081" xr:uid="{00000000-0005-0000-0000-00007C050000}"/>
    <cellStyle name="Обычный 5 5 4 3" xfId="741" xr:uid="{00000000-0005-0000-0000-00007D050000}"/>
    <cellStyle name="Обычный 5 5 4 3 2" xfId="2355" xr:uid="{00000000-0005-0000-0000-00007E050000}"/>
    <cellStyle name="Обычный 5 5 4 4" xfId="1277" xr:uid="{00000000-0005-0000-0000-00007F050000}"/>
    <cellStyle name="Обычный 5 5 4 4 2" xfId="2891" xr:uid="{00000000-0005-0000-0000-000080050000}"/>
    <cellStyle name="Обычный 5 5 4 5" xfId="1813" xr:uid="{00000000-0005-0000-0000-000081050000}"/>
    <cellStyle name="Обычный 5 5 5" xfId="334" xr:uid="{00000000-0005-0000-0000-000082050000}"/>
    <cellStyle name="Обычный 5 5 5 2" xfId="877" xr:uid="{00000000-0005-0000-0000-000083050000}"/>
    <cellStyle name="Обычный 5 5 5 2 2" xfId="2491" xr:uid="{00000000-0005-0000-0000-000084050000}"/>
    <cellStyle name="Обычный 5 5 5 3" xfId="1413" xr:uid="{00000000-0005-0000-0000-000085050000}"/>
    <cellStyle name="Обычный 5 5 5 3 2" xfId="3027" xr:uid="{00000000-0005-0000-0000-000086050000}"/>
    <cellStyle name="Обычный 5 5 5 4" xfId="1949" xr:uid="{00000000-0005-0000-0000-000087050000}"/>
    <cellStyle name="Обычный 5 5 6" xfId="607" xr:uid="{00000000-0005-0000-0000-000088050000}"/>
    <cellStyle name="Обычный 5 5 6 2" xfId="2221" xr:uid="{00000000-0005-0000-0000-000089050000}"/>
    <cellStyle name="Обычный 5 5 7" xfId="1145" xr:uid="{00000000-0005-0000-0000-00008A050000}"/>
    <cellStyle name="Обычный 5 5 7 2" xfId="2759" xr:uid="{00000000-0005-0000-0000-00008B050000}"/>
    <cellStyle name="Обычный 5 5 8" xfId="1681" xr:uid="{00000000-0005-0000-0000-00008C050000}"/>
    <cellStyle name="Обычный 5 6" xfId="118" xr:uid="{00000000-0005-0000-0000-00008D050000}"/>
    <cellStyle name="Обычный 5 6 2" xfId="259" xr:uid="{00000000-0005-0000-0000-00008E050000}"/>
    <cellStyle name="Обычный 5 6 2 2" xfId="528" xr:uid="{00000000-0005-0000-0000-00008F050000}"/>
    <cellStyle name="Обычный 5 6 2 2 2" xfId="1071" xr:uid="{00000000-0005-0000-0000-000090050000}"/>
    <cellStyle name="Обычный 5 6 2 2 2 2" xfId="2685" xr:uid="{00000000-0005-0000-0000-000091050000}"/>
    <cellStyle name="Обычный 5 6 2 2 3" xfId="1607" xr:uid="{00000000-0005-0000-0000-000092050000}"/>
    <cellStyle name="Обычный 5 6 2 2 3 2" xfId="3221" xr:uid="{00000000-0005-0000-0000-000093050000}"/>
    <cellStyle name="Обычный 5 6 2 2 4" xfId="2143" xr:uid="{00000000-0005-0000-0000-000094050000}"/>
    <cellStyle name="Обычный 5 6 2 3" xfId="803" xr:uid="{00000000-0005-0000-0000-000095050000}"/>
    <cellStyle name="Обычный 5 6 2 3 2" xfId="2417" xr:uid="{00000000-0005-0000-0000-000096050000}"/>
    <cellStyle name="Обычный 5 6 2 4" xfId="1339" xr:uid="{00000000-0005-0000-0000-000097050000}"/>
    <cellStyle name="Обычный 5 6 2 4 2" xfId="2953" xr:uid="{00000000-0005-0000-0000-000098050000}"/>
    <cellStyle name="Обычный 5 6 2 5" xfId="1875" xr:uid="{00000000-0005-0000-0000-000099050000}"/>
    <cellStyle name="Обычный 5 6 3" xfId="396" xr:uid="{00000000-0005-0000-0000-00009A050000}"/>
    <cellStyle name="Обычный 5 6 3 2" xfId="939" xr:uid="{00000000-0005-0000-0000-00009B050000}"/>
    <cellStyle name="Обычный 5 6 3 2 2" xfId="2553" xr:uid="{00000000-0005-0000-0000-00009C050000}"/>
    <cellStyle name="Обычный 5 6 3 3" xfId="1475" xr:uid="{00000000-0005-0000-0000-00009D050000}"/>
    <cellStyle name="Обычный 5 6 3 3 2" xfId="3089" xr:uid="{00000000-0005-0000-0000-00009E050000}"/>
    <cellStyle name="Обычный 5 6 3 4" xfId="2011" xr:uid="{00000000-0005-0000-0000-00009F050000}"/>
    <cellStyle name="Обычный 5 6 4" xfId="670" xr:uid="{00000000-0005-0000-0000-0000A0050000}"/>
    <cellStyle name="Обычный 5 6 4 2" xfId="2284" xr:uid="{00000000-0005-0000-0000-0000A1050000}"/>
    <cellStyle name="Обычный 5 6 5" xfId="1207" xr:uid="{00000000-0005-0000-0000-0000A2050000}"/>
    <cellStyle name="Обычный 5 6 5 2" xfId="2821" xr:uid="{00000000-0005-0000-0000-0000A3050000}"/>
    <cellStyle name="Обычный 5 6 6" xfId="1743" xr:uid="{00000000-0005-0000-0000-0000A4050000}"/>
    <cellStyle name="Обычный 5 7" xfId="70" xr:uid="{00000000-0005-0000-0000-0000A5050000}"/>
    <cellStyle name="Обычный 5 7 2" xfId="214" xr:uid="{00000000-0005-0000-0000-0000A6050000}"/>
    <cellStyle name="Обычный 5 7 2 2" xfId="484" xr:uid="{00000000-0005-0000-0000-0000A7050000}"/>
    <cellStyle name="Обычный 5 7 2 2 2" xfId="1027" xr:uid="{00000000-0005-0000-0000-0000A8050000}"/>
    <cellStyle name="Обычный 5 7 2 2 2 2" xfId="2641" xr:uid="{00000000-0005-0000-0000-0000A9050000}"/>
    <cellStyle name="Обычный 5 7 2 2 3" xfId="1563" xr:uid="{00000000-0005-0000-0000-0000AA050000}"/>
    <cellStyle name="Обычный 5 7 2 2 3 2" xfId="3177" xr:uid="{00000000-0005-0000-0000-0000AB050000}"/>
    <cellStyle name="Обычный 5 7 2 2 4" xfId="2099" xr:uid="{00000000-0005-0000-0000-0000AC050000}"/>
    <cellStyle name="Обычный 5 7 2 3" xfId="759" xr:uid="{00000000-0005-0000-0000-0000AD050000}"/>
    <cellStyle name="Обычный 5 7 2 3 2" xfId="2373" xr:uid="{00000000-0005-0000-0000-0000AE050000}"/>
    <cellStyle name="Обычный 5 7 2 4" xfId="1295" xr:uid="{00000000-0005-0000-0000-0000AF050000}"/>
    <cellStyle name="Обычный 5 7 2 4 2" xfId="2909" xr:uid="{00000000-0005-0000-0000-0000B0050000}"/>
    <cellStyle name="Обычный 5 7 2 5" xfId="1831" xr:uid="{00000000-0005-0000-0000-0000B1050000}"/>
    <cellStyle name="Обычный 5 7 3" xfId="352" xr:uid="{00000000-0005-0000-0000-0000B2050000}"/>
    <cellStyle name="Обычный 5 7 3 2" xfId="895" xr:uid="{00000000-0005-0000-0000-0000B3050000}"/>
    <cellStyle name="Обычный 5 7 3 2 2" xfId="2509" xr:uid="{00000000-0005-0000-0000-0000B4050000}"/>
    <cellStyle name="Обычный 5 7 3 3" xfId="1431" xr:uid="{00000000-0005-0000-0000-0000B5050000}"/>
    <cellStyle name="Обычный 5 7 3 3 2" xfId="3045" xr:uid="{00000000-0005-0000-0000-0000B6050000}"/>
    <cellStyle name="Обычный 5 7 3 4" xfId="1967" xr:uid="{00000000-0005-0000-0000-0000B7050000}"/>
    <cellStyle name="Обычный 5 7 4" xfId="625" xr:uid="{00000000-0005-0000-0000-0000B8050000}"/>
    <cellStyle name="Обычный 5 7 4 2" xfId="2239" xr:uid="{00000000-0005-0000-0000-0000B9050000}"/>
    <cellStyle name="Обычный 5 7 5" xfId="1163" xr:uid="{00000000-0005-0000-0000-0000BA050000}"/>
    <cellStyle name="Обычный 5 7 5 2" xfId="2777" xr:uid="{00000000-0005-0000-0000-0000BB050000}"/>
    <cellStyle name="Обычный 5 7 6" xfId="1699" xr:uid="{00000000-0005-0000-0000-0000BC050000}"/>
    <cellStyle name="Обычный 5 8" xfId="166" xr:uid="{00000000-0005-0000-0000-0000BD050000}"/>
    <cellStyle name="Обычный 5 8 2" xfId="440" xr:uid="{00000000-0005-0000-0000-0000BE050000}"/>
    <cellStyle name="Обычный 5 8 2 2" xfId="983" xr:uid="{00000000-0005-0000-0000-0000BF050000}"/>
    <cellStyle name="Обычный 5 8 2 2 2" xfId="2597" xr:uid="{00000000-0005-0000-0000-0000C0050000}"/>
    <cellStyle name="Обычный 5 8 2 3" xfId="1519" xr:uid="{00000000-0005-0000-0000-0000C1050000}"/>
    <cellStyle name="Обычный 5 8 2 3 2" xfId="3133" xr:uid="{00000000-0005-0000-0000-0000C2050000}"/>
    <cellStyle name="Обычный 5 8 2 4" xfId="2055" xr:uid="{00000000-0005-0000-0000-0000C3050000}"/>
    <cellStyle name="Обычный 5 8 3" xfId="715" xr:uid="{00000000-0005-0000-0000-0000C4050000}"/>
    <cellStyle name="Обычный 5 8 3 2" xfId="2329" xr:uid="{00000000-0005-0000-0000-0000C5050000}"/>
    <cellStyle name="Обычный 5 8 4" xfId="1251" xr:uid="{00000000-0005-0000-0000-0000C6050000}"/>
    <cellStyle name="Обычный 5 8 4 2" xfId="2865" xr:uid="{00000000-0005-0000-0000-0000C7050000}"/>
    <cellStyle name="Обычный 5 8 5" xfId="1787" xr:uid="{00000000-0005-0000-0000-0000C8050000}"/>
    <cellStyle name="Обычный 5 9" xfId="308" xr:uid="{00000000-0005-0000-0000-0000C9050000}"/>
    <cellStyle name="Обычный 5 9 2" xfId="851" xr:uid="{00000000-0005-0000-0000-0000CA050000}"/>
    <cellStyle name="Обычный 5 9 2 2" xfId="2465" xr:uid="{00000000-0005-0000-0000-0000CB050000}"/>
    <cellStyle name="Обычный 5 9 3" xfId="1387" xr:uid="{00000000-0005-0000-0000-0000CC050000}"/>
    <cellStyle name="Обычный 5 9 3 2" xfId="3001" xr:uid="{00000000-0005-0000-0000-0000CD050000}"/>
    <cellStyle name="Обычный 5 9 4" xfId="1923" xr:uid="{00000000-0005-0000-0000-0000CE050000}"/>
    <cellStyle name="Обычный 6" xfId="22" xr:uid="{00000000-0005-0000-0000-0000CF050000}"/>
    <cellStyle name="Обычный 6 10" xfId="1657" xr:uid="{00000000-0005-0000-0000-0000D0050000}"/>
    <cellStyle name="Обычный 6 2" xfId="45" xr:uid="{00000000-0005-0000-0000-0000D1050000}"/>
    <cellStyle name="Обычный 6 2 2" xfId="63" xr:uid="{00000000-0005-0000-0000-0000D2050000}"/>
    <cellStyle name="Обычный 6 2 2 2" xfId="158" xr:uid="{00000000-0005-0000-0000-0000D3050000}"/>
    <cellStyle name="Обычный 6 2 2 2 2" xfId="297" xr:uid="{00000000-0005-0000-0000-0000D4050000}"/>
    <cellStyle name="Обычный 6 2 2 2 2 2" xfId="565" xr:uid="{00000000-0005-0000-0000-0000D5050000}"/>
    <cellStyle name="Обычный 6 2 2 2 2 2 2" xfId="1108" xr:uid="{00000000-0005-0000-0000-0000D6050000}"/>
    <cellStyle name="Обычный 6 2 2 2 2 2 2 2" xfId="2722" xr:uid="{00000000-0005-0000-0000-0000D7050000}"/>
    <cellStyle name="Обычный 6 2 2 2 2 2 3" xfId="1644" xr:uid="{00000000-0005-0000-0000-0000D8050000}"/>
    <cellStyle name="Обычный 6 2 2 2 2 2 3 2" xfId="3258" xr:uid="{00000000-0005-0000-0000-0000D9050000}"/>
    <cellStyle name="Обычный 6 2 2 2 2 2 4" xfId="2180" xr:uid="{00000000-0005-0000-0000-0000DA050000}"/>
    <cellStyle name="Обычный 6 2 2 2 2 3" xfId="840" xr:uid="{00000000-0005-0000-0000-0000DB050000}"/>
    <cellStyle name="Обычный 6 2 2 2 2 3 2" xfId="2454" xr:uid="{00000000-0005-0000-0000-0000DC050000}"/>
    <cellStyle name="Обычный 6 2 2 2 2 4" xfId="1376" xr:uid="{00000000-0005-0000-0000-0000DD050000}"/>
    <cellStyle name="Обычный 6 2 2 2 2 4 2" xfId="2990" xr:uid="{00000000-0005-0000-0000-0000DE050000}"/>
    <cellStyle name="Обычный 6 2 2 2 2 5" xfId="1912" xr:uid="{00000000-0005-0000-0000-0000DF050000}"/>
    <cellStyle name="Обычный 6 2 2 2 3" xfId="433" xr:uid="{00000000-0005-0000-0000-0000E0050000}"/>
    <cellStyle name="Обычный 6 2 2 2 3 2" xfId="976" xr:uid="{00000000-0005-0000-0000-0000E1050000}"/>
    <cellStyle name="Обычный 6 2 2 2 3 2 2" xfId="2590" xr:uid="{00000000-0005-0000-0000-0000E2050000}"/>
    <cellStyle name="Обычный 6 2 2 2 3 3" xfId="1512" xr:uid="{00000000-0005-0000-0000-0000E3050000}"/>
    <cellStyle name="Обычный 6 2 2 2 3 3 2" xfId="3126" xr:uid="{00000000-0005-0000-0000-0000E4050000}"/>
    <cellStyle name="Обычный 6 2 2 2 3 4" xfId="2048" xr:uid="{00000000-0005-0000-0000-0000E5050000}"/>
    <cellStyle name="Обычный 6 2 2 2 4" xfId="708" xr:uid="{00000000-0005-0000-0000-0000E6050000}"/>
    <cellStyle name="Обычный 6 2 2 2 4 2" xfId="2322" xr:uid="{00000000-0005-0000-0000-0000E7050000}"/>
    <cellStyle name="Обычный 6 2 2 2 5" xfId="1244" xr:uid="{00000000-0005-0000-0000-0000E8050000}"/>
    <cellStyle name="Обычный 6 2 2 2 5 2" xfId="2858" xr:uid="{00000000-0005-0000-0000-0000E9050000}"/>
    <cellStyle name="Обычный 6 2 2 2 6" xfId="1780" xr:uid="{00000000-0005-0000-0000-0000EA050000}"/>
    <cellStyle name="Обычный 6 2 2 3" xfId="110" xr:uid="{00000000-0005-0000-0000-0000EB050000}"/>
    <cellStyle name="Обычный 6 2 2 3 2" xfId="252" xr:uid="{00000000-0005-0000-0000-0000EC050000}"/>
    <cellStyle name="Обычный 6 2 2 3 2 2" xfId="521" xr:uid="{00000000-0005-0000-0000-0000ED050000}"/>
    <cellStyle name="Обычный 6 2 2 3 2 2 2" xfId="1064" xr:uid="{00000000-0005-0000-0000-0000EE050000}"/>
    <cellStyle name="Обычный 6 2 2 3 2 2 2 2" xfId="2678" xr:uid="{00000000-0005-0000-0000-0000EF050000}"/>
    <cellStyle name="Обычный 6 2 2 3 2 2 3" xfId="1600" xr:uid="{00000000-0005-0000-0000-0000F0050000}"/>
    <cellStyle name="Обычный 6 2 2 3 2 2 3 2" xfId="3214" xr:uid="{00000000-0005-0000-0000-0000F1050000}"/>
    <cellStyle name="Обычный 6 2 2 3 2 2 4" xfId="2136" xr:uid="{00000000-0005-0000-0000-0000F2050000}"/>
    <cellStyle name="Обычный 6 2 2 3 2 3" xfId="796" xr:uid="{00000000-0005-0000-0000-0000F3050000}"/>
    <cellStyle name="Обычный 6 2 2 3 2 3 2" xfId="2410" xr:uid="{00000000-0005-0000-0000-0000F4050000}"/>
    <cellStyle name="Обычный 6 2 2 3 2 4" xfId="1332" xr:uid="{00000000-0005-0000-0000-0000F5050000}"/>
    <cellStyle name="Обычный 6 2 2 3 2 4 2" xfId="2946" xr:uid="{00000000-0005-0000-0000-0000F6050000}"/>
    <cellStyle name="Обычный 6 2 2 3 2 5" xfId="1868" xr:uid="{00000000-0005-0000-0000-0000F7050000}"/>
    <cellStyle name="Обычный 6 2 2 3 3" xfId="389" xr:uid="{00000000-0005-0000-0000-0000F8050000}"/>
    <cellStyle name="Обычный 6 2 2 3 3 2" xfId="932" xr:uid="{00000000-0005-0000-0000-0000F9050000}"/>
    <cellStyle name="Обычный 6 2 2 3 3 2 2" xfId="2546" xr:uid="{00000000-0005-0000-0000-0000FA050000}"/>
    <cellStyle name="Обычный 6 2 2 3 3 3" xfId="1468" xr:uid="{00000000-0005-0000-0000-0000FB050000}"/>
    <cellStyle name="Обычный 6 2 2 3 3 3 2" xfId="3082" xr:uid="{00000000-0005-0000-0000-0000FC050000}"/>
    <cellStyle name="Обычный 6 2 2 3 3 4" xfId="2004" xr:uid="{00000000-0005-0000-0000-0000FD050000}"/>
    <cellStyle name="Обычный 6 2 2 3 4" xfId="663" xr:uid="{00000000-0005-0000-0000-0000FE050000}"/>
    <cellStyle name="Обычный 6 2 2 3 4 2" xfId="2277" xr:uid="{00000000-0005-0000-0000-0000FF050000}"/>
    <cellStyle name="Обычный 6 2 2 3 5" xfId="1200" xr:uid="{00000000-0005-0000-0000-000000060000}"/>
    <cellStyle name="Обычный 6 2 2 3 5 2" xfId="2814" xr:uid="{00000000-0005-0000-0000-000001060000}"/>
    <cellStyle name="Обычный 6 2 2 3 6" xfId="1736" xr:uid="{00000000-0005-0000-0000-000002060000}"/>
    <cellStyle name="Обычный 6 2 2 4" xfId="207" xr:uid="{00000000-0005-0000-0000-000003060000}"/>
    <cellStyle name="Обычный 6 2 2 4 2" xfId="477" xr:uid="{00000000-0005-0000-0000-000004060000}"/>
    <cellStyle name="Обычный 6 2 2 4 2 2" xfId="1020" xr:uid="{00000000-0005-0000-0000-000005060000}"/>
    <cellStyle name="Обычный 6 2 2 4 2 2 2" xfId="2634" xr:uid="{00000000-0005-0000-0000-000006060000}"/>
    <cellStyle name="Обычный 6 2 2 4 2 3" xfId="1556" xr:uid="{00000000-0005-0000-0000-000007060000}"/>
    <cellStyle name="Обычный 6 2 2 4 2 3 2" xfId="3170" xr:uid="{00000000-0005-0000-0000-000008060000}"/>
    <cellStyle name="Обычный 6 2 2 4 2 4" xfId="2092" xr:uid="{00000000-0005-0000-0000-000009060000}"/>
    <cellStyle name="Обычный 6 2 2 4 3" xfId="752" xr:uid="{00000000-0005-0000-0000-00000A060000}"/>
    <cellStyle name="Обычный 6 2 2 4 3 2" xfId="2366" xr:uid="{00000000-0005-0000-0000-00000B060000}"/>
    <cellStyle name="Обычный 6 2 2 4 4" xfId="1288" xr:uid="{00000000-0005-0000-0000-00000C060000}"/>
    <cellStyle name="Обычный 6 2 2 4 4 2" xfId="2902" xr:uid="{00000000-0005-0000-0000-00000D060000}"/>
    <cellStyle name="Обычный 6 2 2 4 5" xfId="1824" xr:uid="{00000000-0005-0000-0000-00000E060000}"/>
    <cellStyle name="Обычный 6 2 2 5" xfId="345" xr:uid="{00000000-0005-0000-0000-00000F060000}"/>
    <cellStyle name="Обычный 6 2 2 5 2" xfId="888" xr:uid="{00000000-0005-0000-0000-000010060000}"/>
    <cellStyle name="Обычный 6 2 2 5 2 2" xfId="2502" xr:uid="{00000000-0005-0000-0000-000011060000}"/>
    <cellStyle name="Обычный 6 2 2 5 3" xfId="1424" xr:uid="{00000000-0005-0000-0000-000012060000}"/>
    <cellStyle name="Обычный 6 2 2 5 3 2" xfId="3038" xr:uid="{00000000-0005-0000-0000-000013060000}"/>
    <cellStyle name="Обычный 6 2 2 5 4" xfId="1960" xr:uid="{00000000-0005-0000-0000-000014060000}"/>
    <cellStyle name="Обычный 6 2 2 6" xfId="618" xr:uid="{00000000-0005-0000-0000-000015060000}"/>
    <cellStyle name="Обычный 6 2 2 6 2" xfId="2232" xr:uid="{00000000-0005-0000-0000-000016060000}"/>
    <cellStyle name="Обычный 6 2 2 7" xfId="1156" xr:uid="{00000000-0005-0000-0000-000017060000}"/>
    <cellStyle name="Обычный 6 2 2 7 2" xfId="2770" xr:uid="{00000000-0005-0000-0000-000018060000}"/>
    <cellStyle name="Обычный 6 2 2 8" xfId="1692" xr:uid="{00000000-0005-0000-0000-000019060000}"/>
    <cellStyle name="Обычный 6 2 3" xfId="140" xr:uid="{00000000-0005-0000-0000-00001A060000}"/>
    <cellStyle name="Обычный 6 2 3 2" xfId="279" xr:uid="{00000000-0005-0000-0000-00001B060000}"/>
    <cellStyle name="Обычный 6 2 3 2 2" xfId="547" xr:uid="{00000000-0005-0000-0000-00001C060000}"/>
    <cellStyle name="Обычный 6 2 3 2 2 2" xfId="1090" xr:uid="{00000000-0005-0000-0000-00001D060000}"/>
    <cellStyle name="Обычный 6 2 3 2 2 2 2" xfId="2704" xr:uid="{00000000-0005-0000-0000-00001E060000}"/>
    <cellStyle name="Обычный 6 2 3 2 2 3" xfId="1626" xr:uid="{00000000-0005-0000-0000-00001F060000}"/>
    <cellStyle name="Обычный 6 2 3 2 2 3 2" xfId="3240" xr:uid="{00000000-0005-0000-0000-000020060000}"/>
    <cellStyle name="Обычный 6 2 3 2 2 4" xfId="2162" xr:uid="{00000000-0005-0000-0000-000021060000}"/>
    <cellStyle name="Обычный 6 2 3 2 3" xfId="822" xr:uid="{00000000-0005-0000-0000-000022060000}"/>
    <cellStyle name="Обычный 6 2 3 2 3 2" xfId="2436" xr:uid="{00000000-0005-0000-0000-000023060000}"/>
    <cellStyle name="Обычный 6 2 3 2 4" xfId="1358" xr:uid="{00000000-0005-0000-0000-000024060000}"/>
    <cellStyle name="Обычный 6 2 3 2 4 2" xfId="2972" xr:uid="{00000000-0005-0000-0000-000025060000}"/>
    <cellStyle name="Обычный 6 2 3 2 5" xfId="1894" xr:uid="{00000000-0005-0000-0000-000026060000}"/>
    <cellStyle name="Обычный 6 2 3 3" xfId="415" xr:uid="{00000000-0005-0000-0000-000027060000}"/>
    <cellStyle name="Обычный 6 2 3 3 2" xfId="958" xr:uid="{00000000-0005-0000-0000-000028060000}"/>
    <cellStyle name="Обычный 6 2 3 3 2 2" xfId="2572" xr:uid="{00000000-0005-0000-0000-000029060000}"/>
    <cellStyle name="Обычный 6 2 3 3 3" xfId="1494" xr:uid="{00000000-0005-0000-0000-00002A060000}"/>
    <cellStyle name="Обычный 6 2 3 3 3 2" xfId="3108" xr:uid="{00000000-0005-0000-0000-00002B060000}"/>
    <cellStyle name="Обычный 6 2 3 3 4" xfId="2030" xr:uid="{00000000-0005-0000-0000-00002C060000}"/>
    <cellStyle name="Обычный 6 2 3 4" xfId="690" xr:uid="{00000000-0005-0000-0000-00002D060000}"/>
    <cellStyle name="Обычный 6 2 3 4 2" xfId="2304" xr:uid="{00000000-0005-0000-0000-00002E060000}"/>
    <cellStyle name="Обычный 6 2 3 5" xfId="1226" xr:uid="{00000000-0005-0000-0000-00002F060000}"/>
    <cellStyle name="Обычный 6 2 3 5 2" xfId="2840" xr:uid="{00000000-0005-0000-0000-000030060000}"/>
    <cellStyle name="Обычный 6 2 3 6" xfId="1762" xr:uid="{00000000-0005-0000-0000-000031060000}"/>
    <cellStyle name="Обычный 6 2 4" xfId="92" xr:uid="{00000000-0005-0000-0000-000032060000}"/>
    <cellStyle name="Обычный 6 2 4 2" xfId="234" xr:uid="{00000000-0005-0000-0000-000033060000}"/>
    <cellStyle name="Обычный 6 2 4 2 2" xfId="503" xr:uid="{00000000-0005-0000-0000-000034060000}"/>
    <cellStyle name="Обычный 6 2 4 2 2 2" xfId="1046" xr:uid="{00000000-0005-0000-0000-000035060000}"/>
    <cellStyle name="Обычный 6 2 4 2 2 2 2" xfId="2660" xr:uid="{00000000-0005-0000-0000-000036060000}"/>
    <cellStyle name="Обычный 6 2 4 2 2 3" xfId="1582" xr:uid="{00000000-0005-0000-0000-000037060000}"/>
    <cellStyle name="Обычный 6 2 4 2 2 3 2" xfId="3196" xr:uid="{00000000-0005-0000-0000-000038060000}"/>
    <cellStyle name="Обычный 6 2 4 2 2 4" xfId="2118" xr:uid="{00000000-0005-0000-0000-000039060000}"/>
    <cellStyle name="Обычный 6 2 4 2 3" xfId="778" xr:uid="{00000000-0005-0000-0000-00003A060000}"/>
    <cellStyle name="Обычный 6 2 4 2 3 2" xfId="2392" xr:uid="{00000000-0005-0000-0000-00003B060000}"/>
    <cellStyle name="Обычный 6 2 4 2 4" xfId="1314" xr:uid="{00000000-0005-0000-0000-00003C060000}"/>
    <cellStyle name="Обычный 6 2 4 2 4 2" xfId="2928" xr:uid="{00000000-0005-0000-0000-00003D060000}"/>
    <cellStyle name="Обычный 6 2 4 2 5" xfId="1850" xr:uid="{00000000-0005-0000-0000-00003E060000}"/>
    <cellStyle name="Обычный 6 2 4 3" xfId="371" xr:uid="{00000000-0005-0000-0000-00003F060000}"/>
    <cellStyle name="Обычный 6 2 4 3 2" xfId="914" xr:uid="{00000000-0005-0000-0000-000040060000}"/>
    <cellStyle name="Обычный 6 2 4 3 2 2" xfId="2528" xr:uid="{00000000-0005-0000-0000-000041060000}"/>
    <cellStyle name="Обычный 6 2 4 3 3" xfId="1450" xr:uid="{00000000-0005-0000-0000-000042060000}"/>
    <cellStyle name="Обычный 6 2 4 3 3 2" xfId="3064" xr:uid="{00000000-0005-0000-0000-000043060000}"/>
    <cellStyle name="Обычный 6 2 4 3 4" xfId="1986" xr:uid="{00000000-0005-0000-0000-000044060000}"/>
    <cellStyle name="Обычный 6 2 4 4" xfId="645" xr:uid="{00000000-0005-0000-0000-000045060000}"/>
    <cellStyle name="Обычный 6 2 4 4 2" xfId="2259" xr:uid="{00000000-0005-0000-0000-000046060000}"/>
    <cellStyle name="Обычный 6 2 4 5" xfId="1182" xr:uid="{00000000-0005-0000-0000-000047060000}"/>
    <cellStyle name="Обычный 6 2 4 5 2" xfId="2796" xr:uid="{00000000-0005-0000-0000-000048060000}"/>
    <cellStyle name="Обычный 6 2 4 6" xfId="1718" xr:uid="{00000000-0005-0000-0000-000049060000}"/>
    <cellStyle name="Обычный 6 2 5" xfId="189" xr:uid="{00000000-0005-0000-0000-00004A060000}"/>
    <cellStyle name="Обычный 6 2 5 2" xfId="459" xr:uid="{00000000-0005-0000-0000-00004B060000}"/>
    <cellStyle name="Обычный 6 2 5 2 2" xfId="1002" xr:uid="{00000000-0005-0000-0000-00004C060000}"/>
    <cellStyle name="Обычный 6 2 5 2 2 2" xfId="2616" xr:uid="{00000000-0005-0000-0000-00004D060000}"/>
    <cellStyle name="Обычный 6 2 5 2 3" xfId="1538" xr:uid="{00000000-0005-0000-0000-00004E060000}"/>
    <cellStyle name="Обычный 6 2 5 2 3 2" xfId="3152" xr:uid="{00000000-0005-0000-0000-00004F060000}"/>
    <cellStyle name="Обычный 6 2 5 2 4" xfId="2074" xr:uid="{00000000-0005-0000-0000-000050060000}"/>
    <cellStyle name="Обычный 6 2 5 3" xfId="734" xr:uid="{00000000-0005-0000-0000-000051060000}"/>
    <cellStyle name="Обычный 6 2 5 3 2" xfId="2348" xr:uid="{00000000-0005-0000-0000-000052060000}"/>
    <cellStyle name="Обычный 6 2 5 4" xfId="1270" xr:uid="{00000000-0005-0000-0000-000053060000}"/>
    <cellStyle name="Обычный 6 2 5 4 2" xfId="2884" xr:uid="{00000000-0005-0000-0000-000054060000}"/>
    <cellStyle name="Обычный 6 2 5 5" xfId="1806" xr:uid="{00000000-0005-0000-0000-000055060000}"/>
    <cellStyle name="Обычный 6 2 6" xfId="327" xr:uid="{00000000-0005-0000-0000-000056060000}"/>
    <cellStyle name="Обычный 6 2 6 2" xfId="870" xr:uid="{00000000-0005-0000-0000-000057060000}"/>
    <cellStyle name="Обычный 6 2 6 2 2" xfId="2484" xr:uid="{00000000-0005-0000-0000-000058060000}"/>
    <cellStyle name="Обычный 6 2 6 3" xfId="1406" xr:uid="{00000000-0005-0000-0000-000059060000}"/>
    <cellStyle name="Обычный 6 2 6 3 2" xfId="3020" xr:uid="{00000000-0005-0000-0000-00005A060000}"/>
    <cellStyle name="Обычный 6 2 6 4" xfId="1942" xr:uid="{00000000-0005-0000-0000-00005B060000}"/>
    <cellStyle name="Обычный 6 2 7" xfId="600" xr:uid="{00000000-0005-0000-0000-00005C060000}"/>
    <cellStyle name="Обычный 6 2 7 2" xfId="2214" xr:uid="{00000000-0005-0000-0000-00005D060000}"/>
    <cellStyle name="Обычный 6 2 8" xfId="1138" xr:uid="{00000000-0005-0000-0000-00005E060000}"/>
    <cellStyle name="Обычный 6 2 8 2" xfId="2752" xr:uid="{00000000-0005-0000-0000-00005F060000}"/>
    <cellStyle name="Обычный 6 2 9" xfId="1674" xr:uid="{00000000-0005-0000-0000-000060060000}"/>
    <cellStyle name="Обычный 6 3" xfId="58" xr:uid="{00000000-0005-0000-0000-000061060000}"/>
    <cellStyle name="Обычный 6 3 2" xfId="153" xr:uid="{00000000-0005-0000-0000-000062060000}"/>
    <cellStyle name="Обычный 6 3 2 2" xfId="292" xr:uid="{00000000-0005-0000-0000-000063060000}"/>
    <cellStyle name="Обычный 6 3 2 2 2" xfId="560" xr:uid="{00000000-0005-0000-0000-000064060000}"/>
    <cellStyle name="Обычный 6 3 2 2 2 2" xfId="1103" xr:uid="{00000000-0005-0000-0000-000065060000}"/>
    <cellStyle name="Обычный 6 3 2 2 2 2 2" xfId="2717" xr:uid="{00000000-0005-0000-0000-000066060000}"/>
    <cellStyle name="Обычный 6 3 2 2 2 3" xfId="1639" xr:uid="{00000000-0005-0000-0000-000067060000}"/>
    <cellStyle name="Обычный 6 3 2 2 2 3 2" xfId="3253" xr:uid="{00000000-0005-0000-0000-000068060000}"/>
    <cellStyle name="Обычный 6 3 2 2 2 4" xfId="2175" xr:uid="{00000000-0005-0000-0000-000069060000}"/>
    <cellStyle name="Обычный 6 3 2 2 3" xfId="835" xr:uid="{00000000-0005-0000-0000-00006A060000}"/>
    <cellStyle name="Обычный 6 3 2 2 3 2" xfId="2449" xr:uid="{00000000-0005-0000-0000-00006B060000}"/>
    <cellStyle name="Обычный 6 3 2 2 4" xfId="1371" xr:uid="{00000000-0005-0000-0000-00006C060000}"/>
    <cellStyle name="Обычный 6 3 2 2 4 2" xfId="2985" xr:uid="{00000000-0005-0000-0000-00006D060000}"/>
    <cellStyle name="Обычный 6 3 2 2 5" xfId="1907" xr:uid="{00000000-0005-0000-0000-00006E060000}"/>
    <cellStyle name="Обычный 6 3 2 3" xfId="428" xr:uid="{00000000-0005-0000-0000-00006F060000}"/>
    <cellStyle name="Обычный 6 3 2 3 2" xfId="971" xr:uid="{00000000-0005-0000-0000-000070060000}"/>
    <cellStyle name="Обычный 6 3 2 3 2 2" xfId="2585" xr:uid="{00000000-0005-0000-0000-000071060000}"/>
    <cellStyle name="Обычный 6 3 2 3 3" xfId="1507" xr:uid="{00000000-0005-0000-0000-000072060000}"/>
    <cellStyle name="Обычный 6 3 2 3 3 2" xfId="3121" xr:uid="{00000000-0005-0000-0000-000073060000}"/>
    <cellStyle name="Обычный 6 3 2 3 4" xfId="2043" xr:uid="{00000000-0005-0000-0000-000074060000}"/>
    <cellStyle name="Обычный 6 3 2 4" xfId="703" xr:uid="{00000000-0005-0000-0000-000075060000}"/>
    <cellStyle name="Обычный 6 3 2 4 2" xfId="2317" xr:uid="{00000000-0005-0000-0000-000076060000}"/>
    <cellStyle name="Обычный 6 3 2 5" xfId="1239" xr:uid="{00000000-0005-0000-0000-000077060000}"/>
    <cellStyle name="Обычный 6 3 2 5 2" xfId="2853" xr:uid="{00000000-0005-0000-0000-000078060000}"/>
    <cellStyle name="Обычный 6 3 2 6" xfId="1775" xr:uid="{00000000-0005-0000-0000-000079060000}"/>
    <cellStyle name="Обычный 6 3 3" xfId="105" xr:uid="{00000000-0005-0000-0000-00007A060000}"/>
    <cellStyle name="Обычный 6 3 3 2" xfId="247" xr:uid="{00000000-0005-0000-0000-00007B060000}"/>
    <cellStyle name="Обычный 6 3 3 2 2" xfId="516" xr:uid="{00000000-0005-0000-0000-00007C060000}"/>
    <cellStyle name="Обычный 6 3 3 2 2 2" xfId="1059" xr:uid="{00000000-0005-0000-0000-00007D060000}"/>
    <cellStyle name="Обычный 6 3 3 2 2 2 2" xfId="2673" xr:uid="{00000000-0005-0000-0000-00007E060000}"/>
    <cellStyle name="Обычный 6 3 3 2 2 3" xfId="1595" xr:uid="{00000000-0005-0000-0000-00007F060000}"/>
    <cellStyle name="Обычный 6 3 3 2 2 3 2" xfId="3209" xr:uid="{00000000-0005-0000-0000-000080060000}"/>
    <cellStyle name="Обычный 6 3 3 2 2 4" xfId="2131" xr:uid="{00000000-0005-0000-0000-000081060000}"/>
    <cellStyle name="Обычный 6 3 3 2 3" xfId="791" xr:uid="{00000000-0005-0000-0000-000082060000}"/>
    <cellStyle name="Обычный 6 3 3 2 3 2" xfId="2405" xr:uid="{00000000-0005-0000-0000-000083060000}"/>
    <cellStyle name="Обычный 6 3 3 2 4" xfId="1327" xr:uid="{00000000-0005-0000-0000-000084060000}"/>
    <cellStyle name="Обычный 6 3 3 2 4 2" xfId="2941" xr:uid="{00000000-0005-0000-0000-000085060000}"/>
    <cellStyle name="Обычный 6 3 3 2 5" xfId="1863" xr:uid="{00000000-0005-0000-0000-000086060000}"/>
    <cellStyle name="Обычный 6 3 3 3" xfId="384" xr:uid="{00000000-0005-0000-0000-000087060000}"/>
    <cellStyle name="Обычный 6 3 3 3 2" xfId="927" xr:uid="{00000000-0005-0000-0000-000088060000}"/>
    <cellStyle name="Обычный 6 3 3 3 2 2" xfId="2541" xr:uid="{00000000-0005-0000-0000-000089060000}"/>
    <cellStyle name="Обычный 6 3 3 3 3" xfId="1463" xr:uid="{00000000-0005-0000-0000-00008A060000}"/>
    <cellStyle name="Обычный 6 3 3 3 3 2" xfId="3077" xr:uid="{00000000-0005-0000-0000-00008B060000}"/>
    <cellStyle name="Обычный 6 3 3 3 4" xfId="1999" xr:uid="{00000000-0005-0000-0000-00008C060000}"/>
    <cellStyle name="Обычный 6 3 3 4" xfId="658" xr:uid="{00000000-0005-0000-0000-00008D060000}"/>
    <cellStyle name="Обычный 6 3 3 4 2" xfId="2272" xr:uid="{00000000-0005-0000-0000-00008E060000}"/>
    <cellStyle name="Обычный 6 3 3 5" xfId="1195" xr:uid="{00000000-0005-0000-0000-00008F060000}"/>
    <cellStyle name="Обычный 6 3 3 5 2" xfId="2809" xr:uid="{00000000-0005-0000-0000-000090060000}"/>
    <cellStyle name="Обычный 6 3 3 6" xfId="1731" xr:uid="{00000000-0005-0000-0000-000091060000}"/>
    <cellStyle name="Обычный 6 3 4" xfId="202" xr:uid="{00000000-0005-0000-0000-000092060000}"/>
    <cellStyle name="Обычный 6 3 4 2" xfId="472" xr:uid="{00000000-0005-0000-0000-000093060000}"/>
    <cellStyle name="Обычный 6 3 4 2 2" xfId="1015" xr:uid="{00000000-0005-0000-0000-000094060000}"/>
    <cellStyle name="Обычный 6 3 4 2 2 2" xfId="2629" xr:uid="{00000000-0005-0000-0000-000095060000}"/>
    <cellStyle name="Обычный 6 3 4 2 3" xfId="1551" xr:uid="{00000000-0005-0000-0000-000096060000}"/>
    <cellStyle name="Обычный 6 3 4 2 3 2" xfId="3165" xr:uid="{00000000-0005-0000-0000-000097060000}"/>
    <cellStyle name="Обычный 6 3 4 2 4" xfId="2087" xr:uid="{00000000-0005-0000-0000-000098060000}"/>
    <cellStyle name="Обычный 6 3 4 3" xfId="747" xr:uid="{00000000-0005-0000-0000-000099060000}"/>
    <cellStyle name="Обычный 6 3 4 3 2" xfId="2361" xr:uid="{00000000-0005-0000-0000-00009A060000}"/>
    <cellStyle name="Обычный 6 3 4 4" xfId="1283" xr:uid="{00000000-0005-0000-0000-00009B060000}"/>
    <cellStyle name="Обычный 6 3 4 4 2" xfId="2897" xr:uid="{00000000-0005-0000-0000-00009C060000}"/>
    <cellStyle name="Обычный 6 3 4 5" xfId="1819" xr:uid="{00000000-0005-0000-0000-00009D060000}"/>
    <cellStyle name="Обычный 6 3 5" xfId="340" xr:uid="{00000000-0005-0000-0000-00009E060000}"/>
    <cellStyle name="Обычный 6 3 5 2" xfId="883" xr:uid="{00000000-0005-0000-0000-00009F060000}"/>
    <cellStyle name="Обычный 6 3 5 2 2" xfId="2497" xr:uid="{00000000-0005-0000-0000-0000A0060000}"/>
    <cellStyle name="Обычный 6 3 5 3" xfId="1419" xr:uid="{00000000-0005-0000-0000-0000A1060000}"/>
    <cellStyle name="Обычный 6 3 5 3 2" xfId="3033" xr:uid="{00000000-0005-0000-0000-0000A2060000}"/>
    <cellStyle name="Обычный 6 3 5 4" xfId="1955" xr:uid="{00000000-0005-0000-0000-0000A3060000}"/>
    <cellStyle name="Обычный 6 3 6" xfId="613" xr:uid="{00000000-0005-0000-0000-0000A4060000}"/>
    <cellStyle name="Обычный 6 3 6 2" xfId="2227" xr:uid="{00000000-0005-0000-0000-0000A5060000}"/>
    <cellStyle name="Обычный 6 3 7" xfId="1151" xr:uid="{00000000-0005-0000-0000-0000A6060000}"/>
    <cellStyle name="Обычный 6 3 7 2" xfId="2765" xr:uid="{00000000-0005-0000-0000-0000A7060000}"/>
    <cellStyle name="Обычный 6 3 8" xfId="1687" xr:uid="{00000000-0005-0000-0000-0000A8060000}"/>
    <cellStyle name="Обычный 6 4" xfId="120" xr:uid="{00000000-0005-0000-0000-0000A9060000}"/>
    <cellStyle name="Обычный 6 4 2" xfId="261" xr:uid="{00000000-0005-0000-0000-0000AA060000}"/>
    <cellStyle name="Обычный 6 4 2 2" xfId="530" xr:uid="{00000000-0005-0000-0000-0000AB060000}"/>
    <cellStyle name="Обычный 6 4 2 2 2" xfId="1073" xr:uid="{00000000-0005-0000-0000-0000AC060000}"/>
    <cellStyle name="Обычный 6 4 2 2 2 2" xfId="2687" xr:uid="{00000000-0005-0000-0000-0000AD060000}"/>
    <cellStyle name="Обычный 6 4 2 2 3" xfId="1609" xr:uid="{00000000-0005-0000-0000-0000AE060000}"/>
    <cellStyle name="Обычный 6 4 2 2 3 2" xfId="3223" xr:uid="{00000000-0005-0000-0000-0000AF060000}"/>
    <cellStyle name="Обычный 6 4 2 2 4" xfId="2145" xr:uid="{00000000-0005-0000-0000-0000B0060000}"/>
    <cellStyle name="Обычный 6 4 2 3" xfId="805" xr:uid="{00000000-0005-0000-0000-0000B1060000}"/>
    <cellStyle name="Обычный 6 4 2 3 2" xfId="2419" xr:uid="{00000000-0005-0000-0000-0000B2060000}"/>
    <cellStyle name="Обычный 6 4 2 4" xfId="1341" xr:uid="{00000000-0005-0000-0000-0000B3060000}"/>
    <cellStyle name="Обычный 6 4 2 4 2" xfId="2955" xr:uid="{00000000-0005-0000-0000-0000B4060000}"/>
    <cellStyle name="Обычный 6 4 2 5" xfId="1877" xr:uid="{00000000-0005-0000-0000-0000B5060000}"/>
    <cellStyle name="Обычный 6 4 3" xfId="398" xr:uid="{00000000-0005-0000-0000-0000B6060000}"/>
    <cellStyle name="Обычный 6 4 3 2" xfId="941" xr:uid="{00000000-0005-0000-0000-0000B7060000}"/>
    <cellStyle name="Обычный 6 4 3 2 2" xfId="2555" xr:uid="{00000000-0005-0000-0000-0000B8060000}"/>
    <cellStyle name="Обычный 6 4 3 3" xfId="1477" xr:uid="{00000000-0005-0000-0000-0000B9060000}"/>
    <cellStyle name="Обычный 6 4 3 3 2" xfId="3091" xr:uid="{00000000-0005-0000-0000-0000BA060000}"/>
    <cellStyle name="Обычный 6 4 3 4" xfId="2013" xr:uid="{00000000-0005-0000-0000-0000BB060000}"/>
    <cellStyle name="Обычный 6 4 4" xfId="672" xr:uid="{00000000-0005-0000-0000-0000BC060000}"/>
    <cellStyle name="Обычный 6 4 4 2" xfId="2286" xr:uid="{00000000-0005-0000-0000-0000BD060000}"/>
    <cellStyle name="Обычный 6 4 5" xfId="1209" xr:uid="{00000000-0005-0000-0000-0000BE060000}"/>
    <cellStyle name="Обычный 6 4 5 2" xfId="2823" xr:uid="{00000000-0005-0000-0000-0000BF060000}"/>
    <cellStyle name="Обычный 6 4 6" xfId="1745" xr:uid="{00000000-0005-0000-0000-0000C0060000}"/>
    <cellStyle name="Обычный 6 5" xfId="72" xr:uid="{00000000-0005-0000-0000-0000C1060000}"/>
    <cellStyle name="Обычный 6 5 2" xfId="216" xr:uid="{00000000-0005-0000-0000-0000C2060000}"/>
    <cellStyle name="Обычный 6 5 2 2" xfId="486" xr:uid="{00000000-0005-0000-0000-0000C3060000}"/>
    <cellStyle name="Обычный 6 5 2 2 2" xfId="1029" xr:uid="{00000000-0005-0000-0000-0000C4060000}"/>
    <cellStyle name="Обычный 6 5 2 2 2 2" xfId="2643" xr:uid="{00000000-0005-0000-0000-0000C5060000}"/>
    <cellStyle name="Обычный 6 5 2 2 3" xfId="1565" xr:uid="{00000000-0005-0000-0000-0000C6060000}"/>
    <cellStyle name="Обычный 6 5 2 2 3 2" xfId="3179" xr:uid="{00000000-0005-0000-0000-0000C7060000}"/>
    <cellStyle name="Обычный 6 5 2 2 4" xfId="2101" xr:uid="{00000000-0005-0000-0000-0000C8060000}"/>
    <cellStyle name="Обычный 6 5 2 3" xfId="761" xr:uid="{00000000-0005-0000-0000-0000C9060000}"/>
    <cellStyle name="Обычный 6 5 2 3 2" xfId="2375" xr:uid="{00000000-0005-0000-0000-0000CA060000}"/>
    <cellStyle name="Обычный 6 5 2 4" xfId="1297" xr:uid="{00000000-0005-0000-0000-0000CB060000}"/>
    <cellStyle name="Обычный 6 5 2 4 2" xfId="2911" xr:uid="{00000000-0005-0000-0000-0000CC060000}"/>
    <cellStyle name="Обычный 6 5 2 5" xfId="1833" xr:uid="{00000000-0005-0000-0000-0000CD060000}"/>
    <cellStyle name="Обычный 6 5 3" xfId="354" xr:uid="{00000000-0005-0000-0000-0000CE060000}"/>
    <cellStyle name="Обычный 6 5 3 2" xfId="897" xr:uid="{00000000-0005-0000-0000-0000CF060000}"/>
    <cellStyle name="Обычный 6 5 3 2 2" xfId="2511" xr:uid="{00000000-0005-0000-0000-0000D0060000}"/>
    <cellStyle name="Обычный 6 5 3 3" xfId="1433" xr:uid="{00000000-0005-0000-0000-0000D1060000}"/>
    <cellStyle name="Обычный 6 5 3 3 2" xfId="3047" xr:uid="{00000000-0005-0000-0000-0000D2060000}"/>
    <cellStyle name="Обычный 6 5 3 4" xfId="1969" xr:uid="{00000000-0005-0000-0000-0000D3060000}"/>
    <cellStyle name="Обычный 6 5 4" xfId="627" xr:uid="{00000000-0005-0000-0000-0000D4060000}"/>
    <cellStyle name="Обычный 6 5 4 2" xfId="2241" xr:uid="{00000000-0005-0000-0000-0000D5060000}"/>
    <cellStyle name="Обычный 6 5 5" xfId="1165" xr:uid="{00000000-0005-0000-0000-0000D6060000}"/>
    <cellStyle name="Обычный 6 5 5 2" xfId="2779" xr:uid="{00000000-0005-0000-0000-0000D7060000}"/>
    <cellStyle name="Обычный 6 5 6" xfId="1701" xr:uid="{00000000-0005-0000-0000-0000D8060000}"/>
    <cellStyle name="Обычный 6 6" xfId="170" xr:uid="{00000000-0005-0000-0000-0000D9060000}"/>
    <cellStyle name="Обычный 6 6 2" xfId="442" xr:uid="{00000000-0005-0000-0000-0000DA060000}"/>
    <cellStyle name="Обычный 6 6 2 2" xfId="985" xr:uid="{00000000-0005-0000-0000-0000DB060000}"/>
    <cellStyle name="Обычный 6 6 2 2 2" xfId="2599" xr:uid="{00000000-0005-0000-0000-0000DC060000}"/>
    <cellStyle name="Обычный 6 6 2 3" xfId="1521" xr:uid="{00000000-0005-0000-0000-0000DD060000}"/>
    <cellStyle name="Обычный 6 6 2 3 2" xfId="3135" xr:uid="{00000000-0005-0000-0000-0000DE060000}"/>
    <cellStyle name="Обычный 6 6 2 4" xfId="2057" xr:uid="{00000000-0005-0000-0000-0000DF060000}"/>
    <cellStyle name="Обычный 6 6 3" xfId="717" xr:uid="{00000000-0005-0000-0000-0000E0060000}"/>
    <cellStyle name="Обычный 6 6 3 2" xfId="2331" xr:uid="{00000000-0005-0000-0000-0000E1060000}"/>
    <cellStyle name="Обычный 6 6 4" xfId="1253" xr:uid="{00000000-0005-0000-0000-0000E2060000}"/>
    <cellStyle name="Обычный 6 6 4 2" xfId="2867" xr:uid="{00000000-0005-0000-0000-0000E3060000}"/>
    <cellStyle name="Обычный 6 6 5" xfId="1789" xr:uid="{00000000-0005-0000-0000-0000E4060000}"/>
    <cellStyle name="Обычный 6 7" xfId="310" xr:uid="{00000000-0005-0000-0000-0000E5060000}"/>
    <cellStyle name="Обычный 6 7 2" xfId="853" xr:uid="{00000000-0005-0000-0000-0000E6060000}"/>
    <cellStyle name="Обычный 6 7 2 2" xfId="2467" xr:uid="{00000000-0005-0000-0000-0000E7060000}"/>
    <cellStyle name="Обычный 6 7 3" xfId="1389" xr:uid="{00000000-0005-0000-0000-0000E8060000}"/>
    <cellStyle name="Обычный 6 7 3 2" xfId="3003" xr:uid="{00000000-0005-0000-0000-0000E9060000}"/>
    <cellStyle name="Обычный 6 7 4" xfId="1925" xr:uid="{00000000-0005-0000-0000-0000EA060000}"/>
    <cellStyle name="Обычный 6 8" xfId="581" xr:uid="{00000000-0005-0000-0000-0000EB060000}"/>
    <cellStyle name="Обычный 6 8 2" xfId="2195" xr:uid="{00000000-0005-0000-0000-0000EC060000}"/>
    <cellStyle name="Обычный 6 9" xfId="1121" xr:uid="{00000000-0005-0000-0000-0000ED060000}"/>
    <cellStyle name="Обычный 6 9 2" xfId="2735" xr:uid="{00000000-0005-0000-0000-0000EE060000}"/>
    <cellStyle name="Обычный 7" xfId="1" xr:uid="{00000000-0005-0000-0000-0000EF060000}"/>
    <cellStyle name="Обычный 7 2" xfId="574" xr:uid="{00000000-0005-0000-0000-0000F0060000}"/>
    <cellStyle name="Обычный 8" xfId="3267" xr:uid="{00000000-0005-0000-0000-0000F1060000}"/>
    <cellStyle name="Обычный 9" xfId="3268" xr:uid="{00000000-0005-0000-0000-0000F2060000}"/>
    <cellStyle name="Процентный 2" xfId="3" xr:uid="{00000000-0005-0000-0000-0000F3060000}"/>
    <cellStyle name="Финансовый 2" xfId="11" xr:uid="{00000000-0005-0000-0000-0000F4060000}"/>
    <cellStyle name="Финансовый 2 10" xfId="307" xr:uid="{00000000-0005-0000-0000-0000F5060000}"/>
    <cellStyle name="Финансовый 2 10 2" xfId="850" xr:uid="{00000000-0005-0000-0000-0000F6060000}"/>
    <cellStyle name="Финансовый 2 10 2 2" xfId="2464" xr:uid="{00000000-0005-0000-0000-0000F7060000}"/>
    <cellStyle name="Финансовый 2 10 3" xfId="1386" xr:uid="{00000000-0005-0000-0000-0000F8060000}"/>
    <cellStyle name="Финансовый 2 10 3 2" xfId="3000" xr:uid="{00000000-0005-0000-0000-0000F9060000}"/>
    <cellStyle name="Финансовый 2 10 4" xfId="1922" xr:uid="{00000000-0005-0000-0000-0000FA060000}"/>
    <cellStyle name="Финансовый 2 11" xfId="576" xr:uid="{00000000-0005-0000-0000-0000FB060000}"/>
    <cellStyle name="Финансовый 2 11 2" xfId="2190" xr:uid="{00000000-0005-0000-0000-0000FC060000}"/>
    <cellStyle name="Финансовый 2 12" xfId="1118" xr:uid="{00000000-0005-0000-0000-0000FD060000}"/>
    <cellStyle name="Финансовый 2 12 2" xfId="2732" xr:uid="{00000000-0005-0000-0000-0000FE060000}"/>
    <cellStyle name="Финансовый 2 13" xfId="1654" xr:uid="{00000000-0005-0000-0000-0000FF060000}"/>
    <cellStyle name="Финансовый 2 2" xfId="20" xr:uid="{00000000-0005-0000-0000-000000070000}"/>
    <cellStyle name="Финансовый 2 2 2" xfId="168" xr:uid="{00000000-0005-0000-0000-000001070000}"/>
    <cellStyle name="Финансовый 2 2 3" xfId="579" xr:uid="{00000000-0005-0000-0000-000002070000}"/>
    <cellStyle name="Финансовый 2 2 3 2" xfId="2193" xr:uid="{00000000-0005-0000-0000-000003070000}"/>
    <cellStyle name="Финансовый 2 2 3 2 2" xfId="3281" xr:uid="{00000000-0005-0000-0000-000004070000}"/>
    <cellStyle name="Финансовый 2 2 3 3" xfId="3275" xr:uid="{00000000-0005-0000-0000-000005070000}"/>
    <cellStyle name="Финансовый 2 2 4" xfId="3269" xr:uid="{00000000-0005-0000-0000-000006070000}"/>
    <cellStyle name="Финансовый 2 3" xfId="24" xr:uid="{00000000-0005-0000-0000-000007070000}"/>
    <cellStyle name="Финансовый 2 3 10" xfId="312" xr:uid="{00000000-0005-0000-0000-000008070000}"/>
    <cellStyle name="Финансовый 2 3 10 2" xfId="855" xr:uid="{00000000-0005-0000-0000-000009070000}"/>
    <cellStyle name="Финансовый 2 3 10 2 2" xfId="2469" xr:uid="{00000000-0005-0000-0000-00000A070000}"/>
    <cellStyle name="Финансовый 2 3 10 3" xfId="1391" xr:uid="{00000000-0005-0000-0000-00000B070000}"/>
    <cellStyle name="Финансовый 2 3 10 3 2" xfId="3005" xr:uid="{00000000-0005-0000-0000-00000C070000}"/>
    <cellStyle name="Финансовый 2 3 10 4" xfId="1927" xr:uid="{00000000-0005-0000-0000-00000D070000}"/>
    <cellStyle name="Финансовый 2 3 11" xfId="583" xr:uid="{00000000-0005-0000-0000-00000E070000}"/>
    <cellStyle name="Финансовый 2 3 11 2" xfId="2197" xr:uid="{00000000-0005-0000-0000-00000F070000}"/>
    <cellStyle name="Финансовый 2 3 12" xfId="1123" xr:uid="{00000000-0005-0000-0000-000010070000}"/>
    <cellStyle name="Финансовый 2 3 12 2" xfId="2737" xr:uid="{00000000-0005-0000-0000-000011070000}"/>
    <cellStyle name="Финансовый 2 3 13" xfId="1659" xr:uid="{00000000-0005-0000-0000-000012070000}"/>
    <cellStyle name="Финансовый 2 3 2" xfId="47" xr:uid="{00000000-0005-0000-0000-000013070000}"/>
    <cellStyle name="Финансовый 2 3 2 2" xfId="65" xr:uid="{00000000-0005-0000-0000-000014070000}"/>
    <cellStyle name="Финансовый 2 3 2 2 2" xfId="160" xr:uid="{00000000-0005-0000-0000-000015070000}"/>
    <cellStyle name="Финансовый 2 3 2 2 2 2" xfId="299" xr:uid="{00000000-0005-0000-0000-000016070000}"/>
    <cellStyle name="Финансовый 2 3 2 2 2 2 2" xfId="567" xr:uid="{00000000-0005-0000-0000-000017070000}"/>
    <cellStyle name="Финансовый 2 3 2 2 2 2 2 2" xfId="1110" xr:uid="{00000000-0005-0000-0000-000018070000}"/>
    <cellStyle name="Финансовый 2 3 2 2 2 2 2 2 2" xfId="2724" xr:uid="{00000000-0005-0000-0000-000019070000}"/>
    <cellStyle name="Финансовый 2 3 2 2 2 2 2 3" xfId="1646" xr:uid="{00000000-0005-0000-0000-00001A070000}"/>
    <cellStyle name="Финансовый 2 3 2 2 2 2 2 3 2" xfId="3260" xr:uid="{00000000-0005-0000-0000-00001B070000}"/>
    <cellStyle name="Финансовый 2 3 2 2 2 2 2 4" xfId="2182" xr:uid="{00000000-0005-0000-0000-00001C070000}"/>
    <cellStyle name="Финансовый 2 3 2 2 2 2 3" xfId="842" xr:uid="{00000000-0005-0000-0000-00001D070000}"/>
    <cellStyle name="Финансовый 2 3 2 2 2 2 3 2" xfId="2456" xr:uid="{00000000-0005-0000-0000-00001E070000}"/>
    <cellStyle name="Финансовый 2 3 2 2 2 2 4" xfId="1378" xr:uid="{00000000-0005-0000-0000-00001F070000}"/>
    <cellStyle name="Финансовый 2 3 2 2 2 2 4 2" xfId="2992" xr:uid="{00000000-0005-0000-0000-000020070000}"/>
    <cellStyle name="Финансовый 2 3 2 2 2 2 5" xfId="1914" xr:uid="{00000000-0005-0000-0000-000021070000}"/>
    <cellStyle name="Финансовый 2 3 2 2 2 3" xfId="435" xr:uid="{00000000-0005-0000-0000-000022070000}"/>
    <cellStyle name="Финансовый 2 3 2 2 2 3 2" xfId="978" xr:uid="{00000000-0005-0000-0000-000023070000}"/>
    <cellStyle name="Финансовый 2 3 2 2 2 3 2 2" xfId="2592" xr:uid="{00000000-0005-0000-0000-000024070000}"/>
    <cellStyle name="Финансовый 2 3 2 2 2 3 3" xfId="1514" xr:uid="{00000000-0005-0000-0000-000025070000}"/>
    <cellStyle name="Финансовый 2 3 2 2 2 3 3 2" xfId="3128" xr:uid="{00000000-0005-0000-0000-000026070000}"/>
    <cellStyle name="Финансовый 2 3 2 2 2 3 4" xfId="2050" xr:uid="{00000000-0005-0000-0000-000027070000}"/>
    <cellStyle name="Финансовый 2 3 2 2 2 4" xfId="710" xr:uid="{00000000-0005-0000-0000-000028070000}"/>
    <cellStyle name="Финансовый 2 3 2 2 2 4 2" xfId="2324" xr:uid="{00000000-0005-0000-0000-000029070000}"/>
    <cellStyle name="Финансовый 2 3 2 2 2 5" xfId="1246" xr:uid="{00000000-0005-0000-0000-00002A070000}"/>
    <cellStyle name="Финансовый 2 3 2 2 2 5 2" xfId="2860" xr:uid="{00000000-0005-0000-0000-00002B070000}"/>
    <cellStyle name="Финансовый 2 3 2 2 2 6" xfId="1782" xr:uid="{00000000-0005-0000-0000-00002C070000}"/>
    <cellStyle name="Финансовый 2 3 2 2 3" xfId="112" xr:uid="{00000000-0005-0000-0000-00002D070000}"/>
    <cellStyle name="Финансовый 2 3 2 2 3 2" xfId="254" xr:uid="{00000000-0005-0000-0000-00002E070000}"/>
    <cellStyle name="Финансовый 2 3 2 2 3 2 2" xfId="523" xr:uid="{00000000-0005-0000-0000-00002F070000}"/>
    <cellStyle name="Финансовый 2 3 2 2 3 2 2 2" xfId="1066" xr:uid="{00000000-0005-0000-0000-000030070000}"/>
    <cellStyle name="Финансовый 2 3 2 2 3 2 2 2 2" xfId="2680" xr:uid="{00000000-0005-0000-0000-000031070000}"/>
    <cellStyle name="Финансовый 2 3 2 2 3 2 2 3" xfId="1602" xr:uid="{00000000-0005-0000-0000-000032070000}"/>
    <cellStyle name="Финансовый 2 3 2 2 3 2 2 3 2" xfId="3216" xr:uid="{00000000-0005-0000-0000-000033070000}"/>
    <cellStyle name="Финансовый 2 3 2 2 3 2 2 4" xfId="2138" xr:uid="{00000000-0005-0000-0000-000034070000}"/>
    <cellStyle name="Финансовый 2 3 2 2 3 2 3" xfId="798" xr:uid="{00000000-0005-0000-0000-000035070000}"/>
    <cellStyle name="Финансовый 2 3 2 2 3 2 3 2" xfId="2412" xr:uid="{00000000-0005-0000-0000-000036070000}"/>
    <cellStyle name="Финансовый 2 3 2 2 3 2 4" xfId="1334" xr:uid="{00000000-0005-0000-0000-000037070000}"/>
    <cellStyle name="Финансовый 2 3 2 2 3 2 4 2" xfId="2948" xr:uid="{00000000-0005-0000-0000-000038070000}"/>
    <cellStyle name="Финансовый 2 3 2 2 3 2 5" xfId="1870" xr:uid="{00000000-0005-0000-0000-000039070000}"/>
    <cellStyle name="Финансовый 2 3 2 2 3 3" xfId="391" xr:uid="{00000000-0005-0000-0000-00003A070000}"/>
    <cellStyle name="Финансовый 2 3 2 2 3 3 2" xfId="934" xr:uid="{00000000-0005-0000-0000-00003B070000}"/>
    <cellStyle name="Финансовый 2 3 2 2 3 3 2 2" xfId="2548" xr:uid="{00000000-0005-0000-0000-00003C070000}"/>
    <cellStyle name="Финансовый 2 3 2 2 3 3 3" xfId="1470" xr:uid="{00000000-0005-0000-0000-00003D070000}"/>
    <cellStyle name="Финансовый 2 3 2 2 3 3 3 2" xfId="3084" xr:uid="{00000000-0005-0000-0000-00003E070000}"/>
    <cellStyle name="Финансовый 2 3 2 2 3 3 4" xfId="2006" xr:uid="{00000000-0005-0000-0000-00003F070000}"/>
    <cellStyle name="Финансовый 2 3 2 2 3 4" xfId="665" xr:uid="{00000000-0005-0000-0000-000040070000}"/>
    <cellStyle name="Финансовый 2 3 2 2 3 4 2" xfId="2279" xr:uid="{00000000-0005-0000-0000-000041070000}"/>
    <cellStyle name="Финансовый 2 3 2 2 3 5" xfId="1202" xr:uid="{00000000-0005-0000-0000-000042070000}"/>
    <cellStyle name="Финансовый 2 3 2 2 3 5 2" xfId="2816" xr:uid="{00000000-0005-0000-0000-000043070000}"/>
    <cellStyle name="Финансовый 2 3 2 2 3 6" xfId="1738" xr:uid="{00000000-0005-0000-0000-000044070000}"/>
    <cellStyle name="Финансовый 2 3 2 2 4" xfId="209" xr:uid="{00000000-0005-0000-0000-000045070000}"/>
    <cellStyle name="Финансовый 2 3 2 2 4 2" xfId="479" xr:uid="{00000000-0005-0000-0000-000046070000}"/>
    <cellStyle name="Финансовый 2 3 2 2 4 2 2" xfId="1022" xr:uid="{00000000-0005-0000-0000-000047070000}"/>
    <cellStyle name="Финансовый 2 3 2 2 4 2 2 2" xfId="2636" xr:uid="{00000000-0005-0000-0000-000048070000}"/>
    <cellStyle name="Финансовый 2 3 2 2 4 2 3" xfId="1558" xr:uid="{00000000-0005-0000-0000-000049070000}"/>
    <cellStyle name="Финансовый 2 3 2 2 4 2 3 2" xfId="3172" xr:uid="{00000000-0005-0000-0000-00004A070000}"/>
    <cellStyle name="Финансовый 2 3 2 2 4 2 4" xfId="2094" xr:uid="{00000000-0005-0000-0000-00004B070000}"/>
    <cellStyle name="Финансовый 2 3 2 2 4 3" xfId="754" xr:uid="{00000000-0005-0000-0000-00004C070000}"/>
    <cellStyle name="Финансовый 2 3 2 2 4 3 2" xfId="2368" xr:uid="{00000000-0005-0000-0000-00004D070000}"/>
    <cellStyle name="Финансовый 2 3 2 2 4 4" xfId="1290" xr:uid="{00000000-0005-0000-0000-00004E070000}"/>
    <cellStyle name="Финансовый 2 3 2 2 4 4 2" xfId="2904" xr:uid="{00000000-0005-0000-0000-00004F070000}"/>
    <cellStyle name="Финансовый 2 3 2 2 4 5" xfId="1826" xr:uid="{00000000-0005-0000-0000-000050070000}"/>
    <cellStyle name="Финансовый 2 3 2 2 5" xfId="347" xr:uid="{00000000-0005-0000-0000-000051070000}"/>
    <cellStyle name="Финансовый 2 3 2 2 5 2" xfId="890" xr:uid="{00000000-0005-0000-0000-000052070000}"/>
    <cellStyle name="Финансовый 2 3 2 2 5 2 2" xfId="2504" xr:uid="{00000000-0005-0000-0000-000053070000}"/>
    <cellStyle name="Финансовый 2 3 2 2 5 3" xfId="1426" xr:uid="{00000000-0005-0000-0000-000054070000}"/>
    <cellStyle name="Финансовый 2 3 2 2 5 3 2" xfId="3040" xr:uid="{00000000-0005-0000-0000-000055070000}"/>
    <cellStyle name="Финансовый 2 3 2 2 5 4" xfId="1962" xr:uid="{00000000-0005-0000-0000-000056070000}"/>
    <cellStyle name="Финансовый 2 3 2 2 6" xfId="620" xr:uid="{00000000-0005-0000-0000-000057070000}"/>
    <cellStyle name="Финансовый 2 3 2 2 6 2" xfId="2234" xr:uid="{00000000-0005-0000-0000-000058070000}"/>
    <cellStyle name="Финансовый 2 3 2 2 7" xfId="1158" xr:uid="{00000000-0005-0000-0000-000059070000}"/>
    <cellStyle name="Финансовый 2 3 2 2 7 2" xfId="2772" xr:uid="{00000000-0005-0000-0000-00005A070000}"/>
    <cellStyle name="Финансовый 2 3 2 2 8" xfId="1694" xr:uid="{00000000-0005-0000-0000-00005B070000}"/>
    <cellStyle name="Финансовый 2 3 2 3" xfId="142" xr:uid="{00000000-0005-0000-0000-00005C070000}"/>
    <cellStyle name="Финансовый 2 3 2 3 2" xfId="281" xr:uid="{00000000-0005-0000-0000-00005D070000}"/>
    <cellStyle name="Финансовый 2 3 2 3 2 2" xfId="549" xr:uid="{00000000-0005-0000-0000-00005E070000}"/>
    <cellStyle name="Финансовый 2 3 2 3 2 2 2" xfId="1092" xr:uid="{00000000-0005-0000-0000-00005F070000}"/>
    <cellStyle name="Финансовый 2 3 2 3 2 2 2 2" xfId="2706" xr:uid="{00000000-0005-0000-0000-000060070000}"/>
    <cellStyle name="Финансовый 2 3 2 3 2 2 3" xfId="1628" xr:uid="{00000000-0005-0000-0000-000061070000}"/>
    <cellStyle name="Финансовый 2 3 2 3 2 2 3 2" xfId="3242" xr:uid="{00000000-0005-0000-0000-000062070000}"/>
    <cellStyle name="Финансовый 2 3 2 3 2 2 4" xfId="2164" xr:uid="{00000000-0005-0000-0000-000063070000}"/>
    <cellStyle name="Финансовый 2 3 2 3 2 3" xfId="824" xr:uid="{00000000-0005-0000-0000-000064070000}"/>
    <cellStyle name="Финансовый 2 3 2 3 2 3 2" xfId="2438" xr:uid="{00000000-0005-0000-0000-000065070000}"/>
    <cellStyle name="Финансовый 2 3 2 3 2 4" xfId="1360" xr:uid="{00000000-0005-0000-0000-000066070000}"/>
    <cellStyle name="Финансовый 2 3 2 3 2 4 2" xfId="2974" xr:uid="{00000000-0005-0000-0000-000067070000}"/>
    <cellStyle name="Финансовый 2 3 2 3 2 5" xfId="1896" xr:uid="{00000000-0005-0000-0000-000068070000}"/>
    <cellStyle name="Финансовый 2 3 2 3 3" xfId="417" xr:uid="{00000000-0005-0000-0000-000069070000}"/>
    <cellStyle name="Финансовый 2 3 2 3 3 2" xfId="960" xr:uid="{00000000-0005-0000-0000-00006A070000}"/>
    <cellStyle name="Финансовый 2 3 2 3 3 2 2" xfId="2574" xr:uid="{00000000-0005-0000-0000-00006B070000}"/>
    <cellStyle name="Финансовый 2 3 2 3 3 3" xfId="1496" xr:uid="{00000000-0005-0000-0000-00006C070000}"/>
    <cellStyle name="Финансовый 2 3 2 3 3 3 2" xfId="3110" xr:uid="{00000000-0005-0000-0000-00006D070000}"/>
    <cellStyle name="Финансовый 2 3 2 3 3 4" xfId="2032" xr:uid="{00000000-0005-0000-0000-00006E070000}"/>
    <cellStyle name="Финансовый 2 3 2 3 4" xfId="692" xr:uid="{00000000-0005-0000-0000-00006F070000}"/>
    <cellStyle name="Финансовый 2 3 2 3 4 2" xfId="2306" xr:uid="{00000000-0005-0000-0000-000070070000}"/>
    <cellStyle name="Финансовый 2 3 2 3 5" xfId="1228" xr:uid="{00000000-0005-0000-0000-000071070000}"/>
    <cellStyle name="Финансовый 2 3 2 3 5 2" xfId="2842" xr:uid="{00000000-0005-0000-0000-000072070000}"/>
    <cellStyle name="Финансовый 2 3 2 3 6" xfId="1764" xr:uid="{00000000-0005-0000-0000-000073070000}"/>
    <cellStyle name="Финансовый 2 3 2 4" xfId="94" xr:uid="{00000000-0005-0000-0000-000074070000}"/>
    <cellStyle name="Финансовый 2 3 2 4 2" xfId="236" xr:uid="{00000000-0005-0000-0000-000075070000}"/>
    <cellStyle name="Финансовый 2 3 2 4 2 2" xfId="505" xr:uid="{00000000-0005-0000-0000-000076070000}"/>
    <cellStyle name="Финансовый 2 3 2 4 2 2 2" xfId="1048" xr:uid="{00000000-0005-0000-0000-000077070000}"/>
    <cellStyle name="Финансовый 2 3 2 4 2 2 2 2" xfId="2662" xr:uid="{00000000-0005-0000-0000-000078070000}"/>
    <cellStyle name="Финансовый 2 3 2 4 2 2 3" xfId="1584" xr:uid="{00000000-0005-0000-0000-000079070000}"/>
    <cellStyle name="Финансовый 2 3 2 4 2 2 3 2" xfId="3198" xr:uid="{00000000-0005-0000-0000-00007A070000}"/>
    <cellStyle name="Финансовый 2 3 2 4 2 2 4" xfId="2120" xr:uid="{00000000-0005-0000-0000-00007B070000}"/>
    <cellStyle name="Финансовый 2 3 2 4 2 3" xfId="780" xr:uid="{00000000-0005-0000-0000-00007C070000}"/>
    <cellStyle name="Финансовый 2 3 2 4 2 3 2" xfId="2394" xr:uid="{00000000-0005-0000-0000-00007D070000}"/>
    <cellStyle name="Финансовый 2 3 2 4 2 4" xfId="1316" xr:uid="{00000000-0005-0000-0000-00007E070000}"/>
    <cellStyle name="Финансовый 2 3 2 4 2 4 2" xfId="2930" xr:uid="{00000000-0005-0000-0000-00007F070000}"/>
    <cellStyle name="Финансовый 2 3 2 4 2 5" xfId="1852" xr:uid="{00000000-0005-0000-0000-000080070000}"/>
    <cellStyle name="Финансовый 2 3 2 4 3" xfId="373" xr:uid="{00000000-0005-0000-0000-000081070000}"/>
    <cellStyle name="Финансовый 2 3 2 4 3 2" xfId="916" xr:uid="{00000000-0005-0000-0000-000082070000}"/>
    <cellStyle name="Финансовый 2 3 2 4 3 2 2" xfId="2530" xr:uid="{00000000-0005-0000-0000-000083070000}"/>
    <cellStyle name="Финансовый 2 3 2 4 3 3" xfId="1452" xr:uid="{00000000-0005-0000-0000-000084070000}"/>
    <cellStyle name="Финансовый 2 3 2 4 3 3 2" xfId="3066" xr:uid="{00000000-0005-0000-0000-000085070000}"/>
    <cellStyle name="Финансовый 2 3 2 4 3 4" xfId="1988" xr:uid="{00000000-0005-0000-0000-000086070000}"/>
    <cellStyle name="Финансовый 2 3 2 4 4" xfId="647" xr:uid="{00000000-0005-0000-0000-000087070000}"/>
    <cellStyle name="Финансовый 2 3 2 4 4 2" xfId="2261" xr:uid="{00000000-0005-0000-0000-000088070000}"/>
    <cellStyle name="Финансовый 2 3 2 4 5" xfId="1184" xr:uid="{00000000-0005-0000-0000-000089070000}"/>
    <cellStyle name="Финансовый 2 3 2 4 5 2" xfId="2798" xr:uid="{00000000-0005-0000-0000-00008A070000}"/>
    <cellStyle name="Финансовый 2 3 2 4 6" xfId="1720" xr:uid="{00000000-0005-0000-0000-00008B070000}"/>
    <cellStyle name="Финансовый 2 3 2 5" xfId="191" xr:uid="{00000000-0005-0000-0000-00008C070000}"/>
    <cellStyle name="Финансовый 2 3 2 5 2" xfId="461" xr:uid="{00000000-0005-0000-0000-00008D070000}"/>
    <cellStyle name="Финансовый 2 3 2 5 2 2" xfId="1004" xr:uid="{00000000-0005-0000-0000-00008E070000}"/>
    <cellStyle name="Финансовый 2 3 2 5 2 2 2" xfId="2618" xr:uid="{00000000-0005-0000-0000-00008F070000}"/>
    <cellStyle name="Финансовый 2 3 2 5 2 3" xfId="1540" xr:uid="{00000000-0005-0000-0000-000090070000}"/>
    <cellStyle name="Финансовый 2 3 2 5 2 3 2" xfId="3154" xr:uid="{00000000-0005-0000-0000-000091070000}"/>
    <cellStyle name="Финансовый 2 3 2 5 2 4" xfId="2076" xr:uid="{00000000-0005-0000-0000-000092070000}"/>
    <cellStyle name="Финансовый 2 3 2 5 3" xfId="736" xr:uid="{00000000-0005-0000-0000-000093070000}"/>
    <cellStyle name="Финансовый 2 3 2 5 3 2" xfId="2350" xr:uid="{00000000-0005-0000-0000-000094070000}"/>
    <cellStyle name="Финансовый 2 3 2 5 4" xfId="1272" xr:uid="{00000000-0005-0000-0000-000095070000}"/>
    <cellStyle name="Финансовый 2 3 2 5 4 2" xfId="2886" xr:uid="{00000000-0005-0000-0000-000096070000}"/>
    <cellStyle name="Финансовый 2 3 2 5 5" xfId="1808" xr:uid="{00000000-0005-0000-0000-000097070000}"/>
    <cellStyle name="Финансовый 2 3 2 6" xfId="329" xr:uid="{00000000-0005-0000-0000-000098070000}"/>
    <cellStyle name="Финансовый 2 3 2 6 2" xfId="872" xr:uid="{00000000-0005-0000-0000-000099070000}"/>
    <cellStyle name="Финансовый 2 3 2 6 2 2" xfId="2486" xr:uid="{00000000-0005-0000-0000-00009A070000}"/>
    <cellStyle name="Финансовый 2 3 2 6 3" xfId="1408" xr:uid="{00000000-0005-0000-0000-00009B070000}"/>
    <cellStyle name="Финансовый 2 3 2 6 3 2" xfId="3022" xr:uid="{00000000-0005-0000-0000-00009C070000}"/>
    <cellStyle name="Финансовый 2 3 2 6 4" xfId="1944" xr:uid="{00000000-0005-0000-0000-00009D070000}"/>
    <cellStyle name="Финансовый 2 3 2 7" xfId="602" xr:uid="{00000000-0005-0000-0000-00009E070000}"/>
    <cellStyle name="Финансовый 2 3 2 7 2" xfId="2216" xr:uid="{00000000-0005-0000-0000-00009F070000}"/>
    <cellStyle name="Финансовый 2 3 2 8" xfId="1140" xr:uid="{00000000-0005-0000-0000-0000A0070000}"/>
    <cellStyle name="Финансовый 2 3 2 8 2" xfId="2754" xr:uid="{00000000-0005-0000-0000-0000A1070000}"/>
    <cellStyle name="Финансовый 2 3 2 9" xfId="1676" xr:uid="{00000000-0005-0000-0000-0000A2070000}"/>
    <cellStyle name="Финансовый 2 3 3" xfId="38" xr:uid="{00000000-0005-0000-0000-0000A3070000}"/>
    <cellStyle name="Финансовый 2 3 3 2" xfId="133" xr:uid="{00000000-0005-0000-0000-0000A4070000}"/>
    <cellStyle name="Финансовый 2 3 3 2 2" xfId="272" xr:uid="{00000000-0005-0000-0000-0000A5070000}"/>
    <cellStyle name="Финансовый 2 3 3 2 2 2" xfId="540" xr:uid="{00000000-0005-0000-0000-0000A6070000}"/>
    <cellStyle name="Финансовый 2 3 3 2 2 2 2" xfId="1083" xr:uid="{00000000-0005-0000-0000-0000A7070000}"/>
    <cellStyle name="Финансовый 2 3 3 2 2 2 2 2" xfId="2697" xr:uid="{00000000-0005-0000-0000-0000A8070000}"/>
    <cellStyle name="Финансовый 2 3 3 2 2 2 3" xfId="1619" xr:uid="{00000000-0005-0000-0000-0000A9070000}"/>
    <cellStyle name="Финансовый 2 3 3 2 2 2 3 2" xfId="3233" xr:uid="{00000000-0005-0000-0000-0000AA070000}"/>
    <cellStyle name="Финансовый 2 3 3 2 2 2 4" xfId="2155" xr:uid="{00000000-0005-0000-0000-0000AB070000}"/>
    <cellStyle name="Финансовый 2 3 3 2 2 3" xfId="815" xr:uid="{00000000-0005-0000-0000-0000AC070000}"/>
    <cellStyle name="Финансовый 2 3 3 2 2 3 2" xfId="2429" xr:uid="{00000000-0005-0000-0000-0000AD070000}"/>
    <cellStyle name="Финансовый 2 3 3 2 2 4" xfId="1351" xr:uid="{00000000-0005-0000-0000-0000AE070000}"/>
    <cellStyle name="Финансовый 2 3 3 2 2 4 2" xfId="2965" xr:uid="{00000000-0005-0000-0000-0000AF070000}"/>
    <cellStyle name="Финансовый 2 3 3 2 2 5" xfId="1887" xr:uid="{00000000-0005-0000-0000-0000B0070000}"/>
    <cellStyle name="Финансовый 2 3 3 2 3" xfId="408" xr:uid="{00000000-0005-0000-0000-0000B1070000}"/>
    <cellStyle name="Финансовый 2 3 3 2 3 2" xfId="951" xr:uid="{00000000-0005-0000-0000-0000B2070000}"/>
    <cellStyle name="Финансовый 2 3 3 2 3 2 2" xfId="2565" xr:uid="{00000000-0005-0000-0000-0000B3070000}"/>
    <cellStyle name="Финансовый 2 3 3 2 3 3" xfId="1487" xr:uid="{00000000-0005-0000-0000-0000B4070000}"/>
    <cellStyle name="Финансовый 2 3 3 2 3 3 2" xfId="3101" xr:uid="{00000000-0005-0000-0000-0000B5070000}"/>
    <cellStyle name="Финансовый 2 3 3 2 3 4" xfId="2023" xr:uid="{00000000-0005-0000-0000-0000B6070000}"/>
    <cellStyle name="Финансовый 2 3 3 2 4" xfId="683" xr:uid="{00000000-0005-0000-0000-0000B7070000}"/>
    <cellStyle name="Финансовый 2 3 3 2 4 2" xfId="2297" xr:uid="{00000000-0005-0000-0000-0000B8070000}"/>
    <cellStyle name="Финансовый 2 3 3 2 5" xfId="1219" xr:uid="{00000000-0005-0000-0000-0000B9070000}"/>
    <cellStyle name="Финансовый 2 3 3 2 5 2" xfId="2833" xr:uid="{00000000-0005-0000-0000-0000BA070000}"/>
    <cellStyle name="Финансовый 2 3 3 2 6" xfId="1755" xr:uid="{00000000-0005-0000-0000-0000BB070000}"/>
    <cellStyle name="Финансовый 2 3 3 3" xfId="85" xr:uid="{00000000-0005-0000-0000-0000BC070000}"/>
    <cellStyle name="Финансовый 2 3 3 3 2" xfId="227" xr:uid="{00000000-0005-0000-0000-0000BD070000}"/>
    <cellStyle name="Финансовый 2 3 3 3 2 2" xfId="496" xr:uid="{00000000-0005-0000-0000-0000BE070000}"/>
    <cellStyle name="Финансовый 2 3 3 3 2 2 2" xfId="1039" xr:uid="{00000000-0005-0000-0000-0000BF070000}"/>
    <cellStyle name="Финансовый 2 3 3 3 2 2 2 2" xfId="2653" xr:uid="{00000000-0005-0000-0000-0000C0070000}"/>
    <cellStyle name="Финансовый 2 3 3 3 2 2 3" xfId="1575" xr:uid="{00000000-0005-0000-0000-0000C1070000}"/>
    <cellStyle name="Финансовый 2 3 3 3 2 2 3 2" xfId="3189" xr:uid="{00000000-0005-0000-0000-0000C2070000}"/>
    <cellStyle name="Финансовый 2 3 3 3 2 2 4" xfId="2111" xr:uid="{00000000-0005-0000-0000-0000C3070000}"/>
    <cellStyle name="Финансовый 2 3 3 3 2 3" xfId="771" xr:uid="{00000000-0005-0000-0000-0000C4070000}"/>
    <cellStyle name="Финансовый 2 3 3 3 2 3 2" xfId="2385" xr:uid="{00000000-0005-0000-0000-0000C5070000}"/>
    <cellStyle name="Финансовый 2 3 3 3 2 4" xfId="1307" xr:uid="{00000000-0005-0000-0000-0000C6070000}"/>
    <cellStyle name="Финансовый 2 3 3 3 2 4 2" xfId="2921" xr:uid="{00000000-0005-0000-0000-0000C7070000}"/>
    <cellStyle name="Финансовый 2 3 3 3 2 5" xfId="1843" xr:uid="{00000000-0005-0000-0000-0000C8070000}"/>
    <cellStyle name="Финансовый 2 3 3 3 3" xfId="364" xr:uid="{00000000-0005-0000-0000-0000C9070000}"/>
    <cellStyle name="Финансовый 2 3 3 3 3 2" xfId="907" xr:uid="{00000000-0005-0000-0000-0000CA070000}"/>
    <cellStyle name="Финансовый 2 3 3 3 3 2 2" xfId="2521" xr:uid="{00000000-0005-0000-0000-0000CB070000}"/>
    <cellStyle name="Финансовый 2 3 3 3 3 3" xfId="1443" xr:uid="{00000000-0005-0000-0000-0000CC070000}"/>
    <cellStyle name="Финансовый 2 3 3 3 3 3 2" xfId="3057" xr:uid="{00000000-0005-0000-0000-0000CD070000}"/>
    <cellStyle name="Финансовый 2 3 3 3 3 4" xfId="1979" xr:uid="{00000000-0005-0000-0000-0000CE070000}"/>
    <cellStyle name="Финансовый 2 3 3 3 4" xfId="638" xr:uid="{00000000-0005-0000-0000-0000CF070000}"/>
    <cellStyle name="Финансовый 2 3 3 3 4 2" xfId="2252" xr:uid="{00000000-0005-0000-0000-0000D0070000}"/>
    <cellStyle name="Финансовый 2 3 3 3 5" xfId="1175" xr:uid="{00000000-0005-0000-0000-0000D1070000}"/>
    <cellStyle name="Финансовый 2 3 3 3 5 2" xfId="2789" xr:uid="{00000000-0005-0000-0000-0000D2070000}"/>
    <cellStyle name="Финансовый 2 3 3 3 6" xfId="1711" xr:uid="{00000000-0005-0000-0000-0000D3070000}"/>
    <cellStyle name="Финансовый 2 3 3 4" xfId="182" xr:uid="{00000000-0005-0000-0000-0000D4070000}"/>
    <cellStyle name="Финансовый 2 3 3 4 2" xfId="452" xr:uid="{00000000-0005-0000-0000-0000D5070000}"/>
    <cellStyle name="Финансовый 2 3 3 4 2 2" xfId="995" xr:uid="{00000000-0005-0000-0000-0000D6070000}"/>
    <cellStyle name="Финансовый 2 3 3 4 2 2 2" xfId="2609" xr:uid="{00000000-0005-0000-0000-0000D7070000}"/>
    <cellStyle name="Финансовый 2 3 3 4 2 3" xfId="1531" xr:uid="{00000000-0005-0000-0000-0000D8070000}"/>
    <cellStyle name="Финансовый 2 3 3 4 2 3 2" xfId="3145" xr:uid="{00000000-0005-0000-0000-0000D9070000}"/>
    <cellStyle name="Финансовый 2 3 3 4 2 4" xfId="2067" xr:uid="{00000000-0005-0000-0000-0000DA070000}"/>
    <cellStyle name="Финансовый 2 3 3 4 3" xfId="727" xr:uid="{00000000-0005-0000-0000-0000DB070000}"/>
    <cellStyle name="Финансовый 2 3 3 4 3 2" xfId="2341" xr:uid="{00000000-0005-0000-0000-0000DC070000}"/>
    <cellStyle name="Финансовый 2 3 3 4 4" xfId="1263" xr:uid="{00000000-0005-0000-0000-0000DD070000}"/>
    <cellStyle name="Финансовый 2 3 3 4 4 2" xfId="2877" xr:uid="{00000000-0005-0000-0000-0000DE070000}"/>
    <cellStyle name="Финансовый 2 3 3 4 5" xfId="1799" xr:uid="{00000000-0005-0000-0000-0000DF070000}"/>
    <cellStyle name="Финансовый 2 3 3 5" xfId="320" xr:uid="{00000000-0005-0000-0000-0000E0070000}"/>
    <cellStyle name="Финансовый 2 3 3 5 2" xfId="863" xr:uid="{00000000-0005-0000-0000-0000E1070000}"/>
    <cellStyle name="Финансовый 2 3 3 5 2 2" xfId="2477" xr:uid="{00000000-0005-0000-0000-0000E2070000}"/>
    <cellStyle name="Финансовый 2 3 3 5 3" xfId="1399" xr:uid="{00000000-0005-0000-0000-0000E3070000}"/>
    <cellStyle name="Финансовый 2 3 3 5 3 2" xfId="3013" xr:uid="{00000000-0005-0000-0000-0000E4070000}"/>
    <cellStyle name="Финансовый 2 3 3 5 4" xfId="1935" xr:uid="{00000000-0005-0000-0000-0000E5070000}"/>
    <cellStyle name="Финансовый 2 3 3 6" xfId="593" xr:uid="{00000000-0005-0000-0000-0000E6070000}"/>
    <cellStyle name="Финансовый 2 3 3 6 2" xfId="2207" xr:uid="{00000000-0005-0000-0000-0000E7070000}"/>
    <cellStyle name="Финансовый 2 3 3 7" xfId="1131" xr:uid="{00000000-0005-0000-0000-0000E8070000}"/>
    <cellStyle name="Финансовый 2 3 3 7 2" xfId="2745" xr:uid="{00000000-0005-0000-0000-0000E9070000}"/>
    <cellStyle name="Финансовый 2 3 3 8" xfId="1667" xr:uid="{00000000-0005-0000-0000-0000EA070000}"/>
    <cellStyle name="Финансовый 2 3 4" xfId="55" xr:uid="{00000000-0005-0000-0000-0000EB070000}"/>
    <cellStyle name="Финансовый 2 3 4 2" xfId="150" xr:uid="{00000000-0005-0000-0000-0000EC070000}"/>
    <cellStyle name="Финансовый 2 3 4 2 2" xfId="289" xr:uid="{00000000-0005-0000-0000-0000ED070000}"/>
    <cellStyle name="Финансовый 2 3 4 2 2 2" xfId="557" xr:uid="{00000000-0005-0000-0000-0000EE070000}"/>
    <cellStyle name="Финансовый 2 3 4 2 2 2 2" xfId="1100" xr:uid="{00000000-0005-0000-0000-0000EF070000}"/>
    <cellStyle name="Финансовый 2 3 4 2 2 2 2 2" xfId="2714" xr:uid="{00000000-0005-0000-0000-0000F0070000}"/>
    <cellStyle name="Финансовый 2 3 4 2 2 2 3" xfId="1636" xr:uid="{00000000-0005-0000-0000-0000F1070000}"/>
    <cellStyle name="Финансовый 2 3 4 2 2 2 3 2" xfId="3250" xr:uid="{00000000-0005-0000-0000-0000F2070000}"/>
    <cellStyle name="Финансовый 2 3 4 2 2 2 4" xfId="2172" xr:uid="{00000000-0005-0000-0000-0000F3070000}"/>
    <cellStyle name="Финансовый 2 3 4 2 2 3" xfId="832" xr:uid="{00000000-0005-0000-0000-0000F4070000}"/>
    <cellStyle name="Финансовый 2 3 4 2 2 3 2" xfId="2446" xr:uid="{00000000-0005-0000-0000-0000F5070000}"/>
    <cellStyle name="Финансовый 2 3 4 2 2 4" xfId="1368" xr:uid="{00000000-0005-0000-0000-0000F6070000}"/>
    <cellStyle name="Финансовый 2 3 4 2 2 4 2" xfId="2982" xr:uid="{00000000-0005-0000-0000-0000F7070000}"/>
    <cellStyle name="Финансовый 2 3 4 2 2 5" xfId="1904" xr:uid="{00000000-0005-0000-0000-0000F8070000}"/>
    <cellStyle name="Финансовый 2 3 4 2 3" xfId="425" xr:uid="{00000000-0005-0000-0000-0000F9070000}"/>
    <cellStyle name="Финансовый 2 3 4 2 3 2" xfId="968" xr:uid="{00000000-0005-0000-0000-0000FA070000}"/>
    <cellStyle name="Финансовый 2 3 4 2 3 2 2" xfId="2582" xr:uid="{00000000-0005-0000-0000-0000FB070000}"/>
    <cellStyle name="Финансовый 2 3 4 2 3 3" xfId="1504" xr:uid="{00000000-0005-0000-0000-0000FC070000}"/>
    <cellStyle name="Финансовый 2 3 4 2 3 3 2" xfId="3118" xr:uid="{00000000-0005-0000-0000-0000FD070000}"/>
    <cellStyle name="Финансовый 2 3 4 2 3 4" xfId="2040" xr:uid="{00000000-0005-0000-0000-0000FE070000}"/>
    <cellStyle name="Финансовый 2 3 4 2 4" xfId="700" xr:uid="{00000000-0005-0000-0000-0000FF070000}"/>
    <cellStyle name="Финансовый 2 3 4 2 4 2" xfId="2314" xr:uid="{00000000-0005-0000-0000-000000080000}"/>
    <cellStyle name="Финансовый 2 3 4 2 5" xfId="1236" xr:uid="{00000000-0005-0000-0000-000001080000}"/>
    <cellStyle name="Финансовый 2 3 4 2 5 2" xfId="2850" xr:uid="{00000000-0005-0000-0000-000002080000}"/>
    <cellStyle name="Финансовый 2 3 4 2 6" xfId="1772" xr:uid="{00000000-0005-0000-0000-000003080000}"/>
    <cellStyle name="Финансовый 2 3 4 3" xfId="102" xr:uid="{00000000-0005-0000-0000-000004080000}"/>
    <cellStyle name="Финансовый 2 3 4 3 2" xfId="244" xr:uid="{00000000-0005-0000-0000-000005080000}"/>
    <cellStyle name="Финансовый 2 3 4 3 2 2" xfId="513" xr:uid="{00000000-0005-0000-0000-000006080000}"/>
    <cellStyle name="Финансовый 2 3 4 3 2 2 2" xfId="1056" xr:uid="{00000000-0005-0000-0000-000007080000}"/>
    <cellStyle name="Финансовый 2 3 4 3 2 2 2 2" xfId="2670" xr:uid="{00000000-0005-0000-0000-000008080000}"/>
    <cellStyle name="Финансовый 2 3 4 3 2 2 3" xfId="1592" xr:uid="{00000000-0005-0000-0000-000009080000}"/>
    <cellStyle name="Финансовый 2 3 4 3 2 2 3 2" xfId="3206" xr:uid="{00000000-0005-0000-0000-00000A080000}"/>
    <cellStyle name="Финансовый 2 3 4 3 2 2 4" xfId="2128" xr:uid="{00000000-0005-0000-0000-00000B080000}"/>
    <cellStyle name="Финансовый 2 3 4 3 2 3" xfId="788" xr:uid="{00000000-0005-0000-0000-00000C080000}"/>
    <cellStyle name="Финансовый 2 3 4 3 2 3 2" xfId="2402" xr:uid="{00000000-0005-0000-0000-00000D080000}"/>
    <cellStyle name="Финансовый 2 3 4 3 2 4" xfId="1324" xr:uid="{00000000-0005-0000-0000-00000E080000}"/>
    <cellStyle name="Финансовый 2 3 4 3 2 4 2" xfId="2938" xr:uid="{00000000-0005-0000-0000-00000F080000}"/>
    <cellStyle name="Финансовый 2 3 4 3 2 5" xfId="1860" xr:uid="{00000000-0005-0000-0000-000010080000}"/>
    <cellStyle name="Финансовый 2 3 4 3 3" xfId="381" xr:uid="{00000000-0005-0000-0000-000011080000}"/>
    <cellStyle name="Финансовый 2 3 4 3 3 2" xfId="924" xr:uid="{00000000-0005-0000-0000-000012080000}"/>
    <cellStyle name="Финансовый 2 3 4 3 3 2 2" xfId="2538" xr:uid="{00000000-0005-0000-0000-000013080000}"/>
    <cellStyle name="Финансовый 2 3 4 3 3 3" xfId="1460" xr:uid="{00000000-0005-0000-0000-000014080000}"/>
    <cellStyle name="Финансовый 2 3 4 3 3 3 2" xfId="3074" xr:uid="{00000000-0005-0000-0000-000015080000}"/>
    <cellStyle name="Финансовый 2 3 4 3 3 4" xfId="1996" xr:uid="{00000000-0005-0000-0000-000016080000}"/>
    <cellStyle name="Финансовый 2 3 4 3 4" xfId="655" xr:uid="{00000000-0005-0000-0000-000017080000}"/>
    <cellStyle name="Финансовый 2 3 4 3 4 2" xfId="2269" xr:uid="{00000000-0005-0000-0000-000018080000}"/>
    <cellStyle name="Финансовый 2 3 4 3 5" xfId="1192" xr:uid="{00000000-0005-0000-0000-000019080000}"/>
    <cellStyle name="Финансовый 2 3 4 3 5 2" xfId="2806" xr:uid="{00000000-0005-0000-0000-00001A080000}"/>
    <cellStyle name="Финансовый 2 3 4 3 6" xfId="1728" xr:uid="{00000000-0005-0000-0000-00001B080000}"/>
    <cellStyle name="Финансовый 2 3 4 4" xfId="199" xr:uid="{00000000-0005-0000-0000-00001C080000}"/>
    <cellStyle name="Финансовый 2 3 4 4 2" xfId="469" xr:uid="{00000000-0005-0000-0000-00001D080000}"/>
    <cellStyle name="Финансовый 2 3 4 4 2 2" xfId="1012" xr:uid="{00000000-0005-0000-0000-00001E080000}"/>
    <cellStyle name="Финансовый 2 3 4 4 2 2 2" xfId="2626" xr:uid="{00000000-0005-0000-0000-00001F080000}"/>
    <cellStyle name="Финансовый 2 3 4 4 2 3" xfId="1548" xr:uid="{00000000-0005-0000-0000-000020080000}"/>
    <cellStyle name="Финансовый 2 3 4 4 2 3 2" xfId="3162" xr:uid="{00000000-0005-0000-0000-000021080000}"/>
    <cellStyle name="Финансовый 2 3 4 4 2 4" xfId="2084" xr:uid="{00000000-0005-0000-0000-000022080000}"/>
    <cellStyle name="Финансовый 2 3 4 4 3" xfId="744" xr:uid="{00000000-0005-0000-0000-000023080000}"/>
    <cellStyle name="Финансовый 2 3 4 4 3 2" xfId="2358" xr:uid="{00000000-0005-0000-0000-000024080000}"/>
    <cellStyle name="Финансовый 2 3 4 4 4" xfId="1280" xr:uid="{00000000-0005-0000-0000-000025080000}"/>
    <cellStyle name="Финансовый 2 3 4 4 4 2" xfId="2894" xr:uid="{00000000-0005-0000-0000-000026080000}"/>
    <cellStyle name="Финансовый 2 3 4 4 5" xfId="1816" xr:uid="{00000000-0005-0000-0000-000027080000}"/>
    <cellStyle name="Финансовый 2 3 4 5" xfId="337" xr:uid="{00000000-0005-0000-0000-000028080000}"/>
    <cellStyle name="Финансовый 2 3 4 5 2" xfId="880" xr:uid="{00000000-0005-0000-0000-000029080000}"/>
    <cellStyle name="Финансовый 2 3 4 5 2 2" xfId="2494" xr:uid="{00000000-0005-0000-0000-00002A080000}"/>
    <cellStyle name="Финансовый 2 3 4 5 3" xfId="1416" xr:uid="{00000000-0005-0000-0000-00002B080000}"/>
    <cellStyle name="Финансовый 2 3 4 5 3 2" xfId="3030" xr:uid="{00000000-0005-0000-0000-00002C080000}"/>
    <cellStyle name="Финансовый 2 3 4 5 4" xfId="1952" xr:uid="{00000000-0005-0000-0000-00002D080000}"/>
    <cellStyle name="Финансовый 2 3 4 6" xfId="610" xr:uid="{00000000-0005-0000-0000-00002E080000}"/>
    <cellStyle name="Финансовый 2 3 4 6 2" xfId="2224" xr:uid="{00000000-0005-0000-0000-00002F080000}"/>
    <cellStyle name="Финансовый 2 3 4 7" xfId="1148" xr:uid="{00000000-0005-0000-0000-000030080000}"/>
    <cellStyle name="Финансовый 2 3 4 7 2" xfId="2762" xr:uid="{00000000-0005-0000-0000-000031080000}"/>
    <cellStyle name="Финансовый 2 3 4 8" xfId="1684" xr:uid="{00000000-0005-0000-0000-000032080000}"/>
    <cellStyle name="Финансовый 2 3 5" xfId="122" xr:uid="{00000000-0005-0000-0000-000033080000}"/>
    <cellStyle name="Финансовый 2 3 5 2" xfId="263" xr:uid="{00000000-0005-0000-0000-000034080000}"/>
    <cellStyle name="Финансовый 2 3 5 2 2" xfId="532" xr:uid="{00000000-0005-0000-0000-000035080000}"/>
    <cellStyle name="Финансовый 2 3 5 2 2 2" xfId="1075" xr:uid="{00000000-0005-0000-0000-000036080000}"/>
    <cellStyle name="Финансовый 2 3 5 2 2 2 2" xfId="2689" xr:uid="{00000000-0005-0000-0000-000037080000}"/>
    <cellStyle name="Финансовый 2 3 5 2 2 3" xfId="1611" xr:uid="{00000000-0005-0000-0000-000038080000}"/>
    <cellStyle name="Финансовый 2 3 5 2 2 3 2" xfId="3225" xr:uid="{00000000-0005-0000-0000-000039080000}"/>
    <cellStyle name="Финансовый 2 3 5 2 2 4" xfId="2147" xr:uid="{00000000-0005-0000-0000-00003A080000}"/>
    <cellStyle name="Финансовый 2 3 5 2 3" xfId="807" xr:uid="{00000000-0005-0000-0000-00003B080000}"/>
    <cellStyle name="Финансовый 2 3 5 2 3 2" xfId="2421" xr:uid="{00000000-0005-0000-0000-00003C080000}"/>
    <cellStyle name="Финансовый 2 3 5 2 4" xfId="1343" xr:uid="{00000000-0005-0000-0000-00003D080000}"/>
    <cellStyle name="Финансовый 2 3 5 2 4 2" xfId="2957" xr:uid="{00000000-0005-0000-0000-00003E080000}"/>
    <cellStyle name="Финансовый 2 3 5 2 5" xfId="1879" xr:uid="{00000000-0005-0000-0000-00003F080000}"/>
    <cellStyle name="Финансовый 2 3 5 3" xfId="400" xr:uid="{00000000-0005-0000-0000-000040080000}"/>
    <cellStyle name="Финансовый 2 3 5 3 2" xfId="943" xr:uid="{00000000-0005-0000-0000-000041080000}"/>
    <cellStyle name="Финансовый 2 3 5 3 2 2" xfId="2557" xr:uid="{00000000-0005-0000-0000-000042080000}"/>
    <cellStyle name="Финансовый 2 3 5 3 3" xfId="1479" xr:uid="{00000000-0005-0000-0000-000043080000}"/>
    <cellStyle name="Финансовый 2 3 5 3 3 2" xfId="3093" xr:uid="{00000000-0005-0000-0000-000044080000}"/>
    <cellStyle name="Финансовый 2 3 5 3 4" xfId="2015" xr:uid="{00000000-0005-0000-0000-000045080000}"/>
    <cellStyle name="Финансовый 2 3 5 4" xfId="674" xr:uid="{00000000-0005-0000-0000-000046080000}"/>
    <cellStyle name="Финансовый 2 3 5 4 2" xfId="2288" xr:uid="{00000000-0005-0000-0000-000047080000}"/>
    <cellStyle name="Финансовый 2 3 5 5" xfId="1211" xr:uid="{00000000-0005-0000-0000-000048080000}"/>
    <cellStyle name="Финансовый 2 3 5 5 2" xfId="2825" xr:uid="{00000000-0005-0000-0000-000049080000}"/>
    <cellStyle name="Финансовый 2 3 5 6" xfId="1747" xr:uid="{00000000-0005-0000-0000-00004A080000}"/>
    <cellStyle name="Финансовый 2 3 6" xfId="74" xr:uid="{00000000-0005-0000-0000-00004B080000}"/>
    <cellStyle name="Финансовый 2 3 6 2" xfId="218" xr:uid="{00000000-0005-0000-0000-00004C080000}"/>
    <cellStyle name="Финансовый 2 3 6 2 2" xfId="488" xr:uid="{00000000-0005-0000-0000-00004D080000}"/>
    <cellStyle name="Финансовый 2 3 6 2 2 2" xfId="1031" xr:uid="{00000000-0005-0000-0000-00004E080000}"/>
    <cellStyle name="Финансовый 2 3 6 2 2 2 2" xfId="2645" xr:uid="{00000000-0005-0000-0000-00004F080000}"/>
    <cellStyle name="Финансовый 2 3 6 2 2 3" xfId="1567" xr:uid="{00000000-0005-0000-0000-000050080000}"/>
    <cellStyle name="Финансовый 2 3 6 2 2 3 2" xfId="3181" xr:uid="{00000000-0005-0000-0000-000051080000}"/>
    <cellStyle name="Финансовый 2 3 6 2 2 4" xfId="2103" xr:uid="{00000000-0005-0000-0000-000052080000}"/>
    <cellStyle name="Финансовый 2 3 6 2 3" xfId="763" xr:uid="{00000000-0005-0000-0000-000053080000}"/>
    <cellStyle name="Финансовый 2 3 6 2 3 2" xfId="2377" xr:uid="{00000000-0005-0000-0000-000054080000}"/>
    <cellStyle name="Финансовый 2 3 6 2 4" xfId="1299" xr:uid="{00000000-0005-0000-0000-000055080000}"/>
    <cellStyle name="Финансовый 2 3 6 2 4 2" xfId="2913" xr:uid="{00000000-0005-0000-0000-000056080000}"/>
    <cellStyle name="Финансовый 2 3 6 2 5" xfId="1835" xr:uid="{00000000-0005-0000-0000-000057080000}"/>
    <cellStyle name="Финансовый 2 3 6 3" xfId="356" xr:uid="{00000000-0005-0000-0000-000058080000}"/>
    <cellStyle name="Финансовый 2 3 6 3 2" xfId="899" xr:uid="{00000000-0005-0000-0000-000059080000}"/>
    <cellStyle name="Финансовый 2 3 6 3 2 2" xfId="2513" xr:uid="{00000000-0005-0000-0000-00005A080000}"/>
    <cellStyle name="Финансовый 2 3 6 3 3" xfId="1435" xr:uid="{00000000-0005-0000-0000-00005B080000}"/>
    <cellStyle name="Финансовый 2 3 6 3 3 2" xfId="3049" xr:uid="{00000000-0005-0000-0000-00005C080000}"/>
    <cellStyle name="Финансовый 2 3 6 3 4" xfId="1971" xr:uid="{00000000-0005-0000-0000-00005D080000}"/>
    <cellStyle name="Финансовый 2 3 6 4" xfId="629" xr:uid="{00000000-0005-0000-0000-00005E080000}"/>
    <cellStyle name="Финансовый 2 3 6 4 2" xfId="2243" xr:uid="{00000000-0005-0000-0000-00005F080000}"/>
    <cellStyle name="Финансовый 2 3 6 5" xfId="1167" xr:uid="{00000000-0005-0000-0000-000060080000}"/>
    <cellStyle name="Финансовый 2 3 6 5 2" xfId="2781" xr:uid="{00000000-0005-0000-0000-000061080000}"/>
    <cellStyle name="Финансовый 2 3 6 6" xfId="1703" xr:uid="{00000000-0005-0000-0000-000062080000}"/>
    <cellStyle name="Финансовый 2 3 7" xfId="172" xr:uid="{00000000-0005-0000-0000-000063080000}"/>
    <cellStyle name="Финансовый 2 3 7 2" xfId="444" xr:uid="{00000000-0005-0000-0000-000064080000}"/>
    <cellStyle name="Финансовый 2 3 7 2 2" xfId="987" xr:uid="{00000000-0005-0000-0000-000065080000}"/>
    <cellStyle name="Финансовый 2 3 7 2 2 2" xfId="2601" xr:uid="{00000000-0005-0000-0000-000066080000}"/>
    <cellStyle name="Финансовый 2 3 7 2 3" xfId="1523" xr:uid="{00000000-0005-0000-0000-000067080000}"/>
    <cellStyle name="Финансовый 2 3 7 2 3 2" xfId="3137" xr:uid="{00000000-0005-0000-0000-000068080000}"/>
    <cellStyle name="Финансовый 2 3 7 2 4" xfId="2059" xr:uid="{00000000-0005-0000-0000-000069080000}"/>
    <cellStyle name="Финансовый 2 3 7 3" xfId="719" xr:uid="{00000000-0005-0000-0000-00006A080000}"/>
    <cellStyle name="Финансовый 2 3 7 3 2" xfId="2333" xr:uid="{00000000-0005-0000-0000-00006B080000}"/>
    <cellStyle name="Финансовый 2 3 7 4" xfId="1255" xr:uid="{00000000-0005-0000-0000-00006C080000}"/>
    <cellStyle name="Финансовый 2 3 7 4 2" xfId="2869" xr:uid="{00000000-0005-0000-0000-00006D080000}"/>
    <cellStyle name="Финансовый 2 3 7 5" xfId="1791" xr:uid="{00000000-0005-0000-0000-00006E080000}"/>
    <cellStyle name="Финансовый 2 3 8" xfId="303" xr:uid="{00000000-0005-0000-0000-00006F080000}"/>
    <cellStyle name="Финансовый 2 3 8 2" xfId="571" xr:uid="{00000000-0005-0000-0000-000070080000}"/>
    <cellStyle name="Финансовый 2 3 8 2 2" xfId="1114" xr:uid="{00000000-0005-0000-0000-000071080000}"/>
    <cellStyle name="Финансовый 2 3 8 2 2 2" xfId="2728" xr:uid="{00000000-0005-0000-0000-000072080000}"/>
    <cellStyle name="Финансовый 2 3 8 2 3" xfId="1650" xr:uid="{00000000-0005-0000-0000-000073080000}"/>
    <cellStyle name="Финансовый 2 3 8 2 3 2" xfId="3264" xr:uid="{00000000-0005-0000-0000-000074080000}"/>
    <cellStyle name="Финансовый 2 3 8 2 4" xfId="2186" xr:uid="{00000000-0005-0000-0000-000075080000}"/>
    <cellStyle name="Финансовый 2 3 8 3" xfId="846" xr:uid="{00000000-0005-0000-0000-000076080000}"/>
    <cellStyle name="Финансовый 2 3 8 3 2" xfId="2460" xr:uid="{00000000-0005-0000-0000-000077080000}"/>
    <cellStyle name="Финансовый 2 3 8 4" xfId="1382" xr:uid="{00000000-0005-0000-0000-000078080000}"/>
    <cellStyle name="Финансовый 2 3 8 4 2" xfId="2996" xr:uid="{00000000-0005-0000-0000-000079080000}"/>
    <cellStyle name="Финансовый 2 3 8 5" xfId="1918" xr:uid="{00000000-0005-0000-0000-00007A080000}"/>
    <cellStyle name="Финансовый 2 3 9" xfId="305" xr:uid="{00000000-0005-0000-0000-00007B080000}"/>
    <cellStyle name="Финансовый 2 3 9 2" xfId="573" xr:uid="{00000000-0005-0000-0000-00007C080000}"/>
    <cellStyle name="Финансовый 2 3 9 2 2" xfId="1116" xr:uid="{00000000-0005-0000-0000-00007D080000}"/>
    <cellStyle name="Финансовый 2 3 9 2 2 2" xfId="2730" xr:uid="{00000000-0005-0000-0000-00007E080000}"/>
    <cellStyle name="Финансовый 2 3 9 2 3" xfId="1652" xr:uid="{00000000-0005-0000-0000-00007F080000}"/>
    <cellStyle name="Финансовый 2 3 9 2 3 2" xfId="3266" xr:uid="{00000000-0005-0000-0000-000080080000}"/>
    <cellStyle name="Финансовый 2 3 9 2 4" xfId="2188" xr:uid="{00000000-0005-0000-0000-000081080000}"/>
    <cellStyle name="Финансовый 2 3 9 3" xfId="848" xr:uid="{00000000-0005-0000-0000-000082080000}"/>
    <cellStyle name="Финансовый 2 3 9 3 2" xfId="2462" xr:uid="{00000000-0005-0000-0000-000083080000}"/>
    <cellStyle name="Финансовый 2 3 9 4" xfId="1384" xr:uid="{00000000-0005-0000-0000-000084080000}"/>
    <cellStyle name="Финансовый 2 3 9 4 2" xfId="2998" xr:uid="{00000000-0005-0000-0000-000085080000}"/>
    <cellStyle name="Финансовый 2 3 9 5" xfId="1920" xr:uid="{00000000-0005-0000-0000-000086080000}"/>
    <cellStyle name="Финансовый 2 4" xfId="42" xr:uid="{00000000-0005-0000-0000-000087080000}"/>
    <cellStyle name="Финансовый 2 4 2" xfId="60" xr:uid="{00000000-0005-0000-0000-000088080000}"/>
    <cellStyle name="Финансовый 2 4 2 2" xfId="155" xr:uid="{00000000-0005-0000-0000-000089080000}"/>
    <cellStyle name="Финансовый 2 4 2 2 2" xfId="294" xr:uid="{00000000-0005-0000-0000-00008A080000}"/>
    <cellStyle name="Финансовый 2 4 2 2 2 2" xfId="562" xr:uid="{00000000-0005-0000-0000-00008B080000}"/>
    <cellStyle name="Финансовый 2 4 2 2 2 2 2" xfId="1105" xr:uid="{00000000-0005-0000-0000-00008C080000}"/>
    <cellStyle name="Финансовый 2 4 2 2 2 2 2 2" xfId="2719" xr:uid="{00000000-0005-0000-0000-00008D080000}"/>
    <cellStyle name="Финансовый 2 4 2 2 2 2 3" xfId="1641" xr:uid="{00000000-0005-0000-0000-00008E080000}"/>
    <cellStyle name="Финансовый 2 4 2 2 2 2 3 2" xfId="3255" xr:uid="{00000000-0005-0000-0000-00008F080000}"/>
    <cellStyle name="Финансовый 2 4 2 2 2 2 4" xfId="2177" xr:uid="{00000000-0005-0000-0000-000090080000}"/>
    <cellStyle name="Финансовый 2 4 2 2 2 3" xfId="837" xr:uid="{00000000-0005-0000-0000-000091080000}"/>
    <cellStyle name="Финансовый 2 4 2 2 2 3 2" xfId="2451" xr:uid="{00000000-0005-0000-0000-000092080000}"/>
    <cellStyle name="Финансовый 2 4 2 2 2 4" xfId="1373" xr:uid="{00000000-0005-0000-0000-000093080000}"/>
    <cellStyle name="Финансовый 2 4 2 2 2 4 2" xfId="2987" xr:uid="{00000000-0005-0000-0000-000094080000}"/>
    <cellStyle name="Финансовый 2 4 2 2 2 5" xfId="1909" xr:uid="{00000000-0005-0000-0000-000095080000}"/>
    <cellStyle name="Финансовый 2 4 2 2 3" xfId="430" xr:uid="{00000000-0005-0000-0000-000096080000}"/>
    <cellStyle name="Финансовый 2 4 2 2 3 2" xfId="973" xr:uid="{00000000-0005-0000-0000-000097080000}"/>
    <cellStyle name="Финансовый 2 4 2 2 3 2 2" xfId="2587" xr:uid="{00000000-0005-0000-0000-000098080000}"/>
    <cellStyle name="Финансовый 2 4 2 2 3 3" xfId="1509" xr:uid="{00000000-0005-0000-0000-000099080000}"/>
    <cellStyle name="Финансовый 2 4 2 2 3 3 2" xfId="3123" xr:uid="{00000000-0005-0000-0000-00009A080000}"/>
    <cellStyle name="Финансовый 2 4 2 2 3 4" xfId="2045" xr:uid="{00000000-0005-0000-0000-00009B080000}"/>
    <cellStyle name="Финансовый 2 4 2 2 4" xfId="705" xr:uid="{00000000-0005-0000-0000-00009C080000}"/>
    <cellStyle name="Финансовый 2 4 2 2 4 2" xfId="2319" xr:uid="{00000000-0005-0000-0000-00009D080000}"/>
    <cellStyle name="Финансовый 2 4 2 2 5" xfId="1241" xr:uid="{00000000-0005-0000-0000-00009E080000}"/>
    <cellStyle name="Финансовый 2 4 2 2 5 2" xfId="2855" xr:uid="{00000000-0005-0000-0000-00009F080000}"/>
    <cellStyle name="Финансовый 2 4 2 2 6" xfId="1777" xr:uid="{00000000-0005-0000-0000-0000A0080000}"/>
    <cellStyle name="Финансовый 2 4 2 3" xfId="107" xr:uid="{00000000-0005-0000-0000-0000A1080000}"/>
    <cellStyle name="Финансовый 2 4 2 3 2" xfId="249" xr:uid="{00000000-0005-0000-0000-0000A2080000}"/>
    <cellStyle name="Финансовый 2 4 2 3 2 2" xfId="518" xr:uid="{00000000-0005-0000-0000-0000A3080000}"/>
    <cellStyle name="Финансовый 2 4 2 3 2 2 2" xfId="1061" xr:uid="{00000000-0005-0000-0000-0000A4080000}"/>
    <cellStyle name="Финансовый 2 4 2 3 2 2 2 2" xfId="2675" xr:uid="{00000000-0005-0000-0000-0000A5080000}"/>
    <cellStyle name="Финансовый 2 4 2 3 2 2 3" xfId="1597" xr:uid="{00000000-0005-0000-0000-0000A6080000}"/>
    <cellStyle name="Финансовый 2 4 2 3 2 2 3 2" xfId="3211" xr:uid="{00000000-0005-0000-0000-0000A7080000}"/>
    <cellStyle name="Финансовый 2 4 2 3 2 2 4" xfId="2133" xr:uid="{00000000-0005-0000-0000-0000A8080000}"/>
    <cellStyle name="Финансовый 2 4 2 3 2 3" xfId="793" xr:uid="{00000000-0005-0000-0000-0000A9080000}"/>
    <cellStyle name="Финансовый 2 4 2 3 2 3 2" xfId="2407" xr:uid="{00000000-0005-0000-0000-0000AA080000}"/>
    <cellStyle name="Финансовый 2 4 2 3 2 4" xfId="1329" xr:uid="{00000000-0005-0000-0000-0000AB080000}"/>
    <cellStyle name="Финансовый 2 4 2 3 2 4 2" xfId="2943" xr:uid="{00000000-0005-0000-0000-0000AC080000}"/>
    <cellStyle name="Финансовый 2 4 2 3 2 5" xfId="1865" xr:uid="{00000000-0005-0000-0000-0000AD080000}"/>
    <cellStyle name="Финансовый 2 4 2 3 3" xfId="386" xr:uid="{00000000-0005-0000-0000-0000AE080000}"/>
    <cellStyle name="Финансовый 2 4 2 3 3 2" xfId="929" xr:uid="{00000000-0005-0000-0000-0000AF080000}"/>
    <cellStyle name="Финансовый 2 4 2 3 3 2 2" xfId="2543" xr:uid="{00000000-0005-0000-0000-0000B0080000}"/>
    <cellStyle name="Финансовый 2 4 2 3 3 3" xfId="1465" xr:uid="{00000000-0005-0000-0000-0000B1080000}"/>
    <cellStyle name="Финансовый 2 4 2 3 3 3 2" xfId="3079" xr:uid="{00000000-0005-0000-0000-0000B2080000}"/>
    <cellStyle name="Финансовый 2 4 2 3 3 4" xfId="2001" xr:uid="{00000000-0005-0000-0000-0000B3080000}"/>
    <cellStyle name="Финансовый 2 4 2 3 4" xfId="660" xr:uid="{00000000-0005-0000-0000-0000B4080000}"/>
    <cellStyle name="Финансовый 2 4 2 3 4 2" xfId="2274" xr:uid="{00000000-0005-0000-0000-0000B5080000}"/>
    <cellStyle name="Финансовый 2 4 2 3 5" xfId="1197" xr:uid="{00000000-0005-0000-0000-0000B6080000}"/>
    <cellStyle name="Финансовый 2 4 2 3 5 2" xfId="2811" xr:uid="{00000000-0005-0000-0000-0000B7080000}"/>
    <cellStyle name="Финансовый 2 4 2 3 6" xfId="1733" xr:uid="{00000000-0005-0000-0000-0000B8080000}"/>
    <cellStyle name="Финансовый 2 4 2 4" xfId="204" xr:uid="{00000000-0005-0000-0000-0000B9080000}"/>
    <cellStyle name="Финансовый 2 4 2 4 2" xfId="474" xr:uid="{00000000-0005-0000-0000-0000BA080000}"/>
    <cellStyle name="Финансовый 2 4 2 4 2 2" xfId="1017" xr:uid="{00000000-0005-0000-0000-0000BB080000}"/>
    <cellStyle name="Финансовый 2 4 2 4 2 2 2" xfId="2631" xr:uid="{00000000-0005-0000-0000-0000BC080000}"/>
    <cellStyle name="Финансовый 2 4 2 4 2 3" xfId="1553" xr:uid="{00000000-0005-0000-0000-0000BD080000}"/>
    <cellStyle name="Финансовый 2 4 2 4 2 3 2" xfId="3167" xr:uid="{00000000-0005-0000-0000-0000BE080000}"/>
    <cellStyle name="Финансовый 2 4 2 4 2 4" xfId="2089" xr:uid="{00000000-0005-0000-0000-0000BF080000}"/>
    <cellStyle name="Финансовый 2 4 2 4 3" xfId="749" xr:uid="{00000000-0005-0000-0000-0000C0080000}"/>
    <cellStyle name="Финансовый 2 4 2 4 3 2" xfId="2363" xr:uid="{00000000-0005-0000-0000-0000C1080000}"/>
    <cellStyle name="Финансовый 2 4 2 4 4" xfId="1285" xr:uid="{00000000-0005-0000-0000-0000C2080000}"/>
    <cellStyle name="Финансовый 2 4 2 4 4 2" xfId="2899" xr:uid="{00000000-0005-0000-0000-0000C3080000}"/>
    <cellStyle name="Финансовый 2 4 2 4 5" xfId="1821" xr:uid="{00000000-0005-0000-0000-0000C4080000}"/>
    <cellStyle name="Финансовый 2 4 2 5" xfId="342" xr:uid="{00000000-0005-0000-0000-0000C5080000}"/>
    <cellStyle name="Финансовый 2 4 2 5 2" xfId="885" xr:uid="{00000000-0005-0000-0000-0000C6080000}"/>
    <cellStyle name="Финансовый 2 4 2 5 2 2" xfId="2499" xr:uid="{00000000-0005-0000-0000-0000C7080000}"/>
    <cellStyle name="Финансовый 2 4 2 5 3" xfId="1421" xr:uid="{00000000-0005-0000-0000-0000C8080000}"/>
    <cellStyle name="Финансовый 2 4 2 5 3 2" xfId="3035" xr:uid="{00000000-0005-0000-0000-0000C9080000}"/>
    <cellStyle name="Финансовый 2 4 2 5 4" xfId="1957" xr:uid="{00000000-0005-0000-0000-0000CA080000}"/>
    <cellStyle name="Финансовый 2 4 2 6" xfId="615" xr:uid="{00000000-0005-0000-0000-0000CB080000}"/>
    <cellStyle name="Финансовый 2 4 2 6 2" xfId="2229" xr:uid="{00000000-0005-0000-0000-0000CC080000}"/>
    <cellStyle name="Финансовый 2 4 2 7" xfId="1153" xr:uid="{00000000-0005-0000-0000-0000CD080000}"/>
    <cellStyle name="Финансовый 2 4 2 7 2" xfId="2767" xr:uid="{00000000-0005-0000-0000-0000CE080000}"/>
    <cellStyle name="Финансовый 2 4 2 8" xfId="1689" xr:uid="{00000000-0005-0000-0000-0000CF080000}"/>
    <cellStyle name="Финансовый 2 4 3" xfId="137" xr:uid="{00000000-0005-0000-0000-0000D0080000}"/>
    <cellStyle name="Финансовый 2 4 3 2" xfId="276" xr:uid="{00000000-0005-0000-0000-0000D1080000}"/>
    <cellStyle name="Финансовый 2 4 3 2 2" xfId="544" xr:uid="{00000000-0005-0000-0000-0000D2080000}"/>
    <cellStyle name="Финансовый 2 4 3 2 2 2" xfId="1087" xr:uid="{00000000-0005-0000-0000-0000D3080000}"/>
    <cellStyle name="Финансовый 2 4 3 2 2 2 2" xfId="2701" xr:uid="{00000000-0005-0000-0000-0000D4080000}"/>
    <cellStyle name="Финансовый 2 4 3 2 2 3" xfId="1623" xr:uid="{00000000-0005-0000-0000-0000D5080000}"/>
    <cellStyle name="Финансовый 2 4 3 2 2 3 2" xfId="3237" xr:uid="{00000000-0005-0000-0000-0000D6080000}"/>
    <cellStyle name="Финансовый 2 4 3 2 2 4" xfId="2159" xr:uid="{00000000-0005-0000-0000-0000D7080000}"/>
    <cellStyle name="Финансовый 2 4 3 2 3" xfId="819" xr:uid="{00000000-0005-0000-0000-0000D8080000}"/>
    <cellStyle name="Финансовый 2 4 3 2 3 2" xfId="2433" xr:uid="{00000000-0005-0000-0000-0000D9080000}"/>
    <cellStyle name="Финансовый 2 4 3 2 4" xfId="1355" xr:uid="{00000000-0005-0000-0000-0000DA080000}"/>
    <cellStyle name="Финансовый 2 4 3 2 4 2" xfId="2969" xr:uid="{00000000-0005-0000-0000-0000DB080000}"/>
    <cellStyle name="Финансовый 2 4 3 2 5" xfId="1891" xr:uid="{00000000-0005-0000-0000-0000DC080000}"/>
    <cellStyle name="Финансовый 2 4 3 3" xfId="412" xr:uid="{00000000-0005-0000-0000-0000DD080000}"/>
    <cellStyle name="Финансовый 2 4 3 3 2" xfId="955" xr:uid="{00000000-0005-0000-0000-0000DE080000}"/>
    <cellStyle name="Финансовый 2 4 3 3 2 2" xfId="2569" xr:uid="{00000000-0005-0000-0000-0000DF080000}"/>
    <cellStyle name="Финансовый 2 4 3 3 3" xfId="1491" xr:uid="{00000000-0005-0000-0000-0000E0080000}"/>
    <cellStyle name="Финансовый 2 4 3 3 3 2" xfId="3105" xr:uid="{00000000-0005-0000-0000-0000E1080000}"/>
    <cellStyle name="Финансовый 2 4 3 3 4" xfId="2027" xr:uid="{00000000-0005-0000-0000-0000E2080000}"/>
    <cellStyle name="Финансовый 2 4 3 4" xfId="687" xr:uid="{00000000-0005-0000-0000-0000E3080000}"/>
    <cellStyle name="Финансовый 2 4 3 4 2" xfId="2301" xr:uid="{00000000-0005-0000-0000-0000E4080000}"/>
    <cellStyle name="Финансовый 2 4 3 5" xfId="1223" xr:uid="{00000000-0005-0000-0000-0000E5080000}"/>
    <cellStyle name="Финансовый 2 4 3 5 2" xfId="2837" xr:uid="{00000000-0005-0000-0000-0000E6080000}"/>
    <cellStyle name="Финансовый 2 4 3 6" xfId="1759" xr:uid="{00000000-0005-0000-0000-0000E7080000}"/>
    <cellStyle name="Финансовый 2 4 4" xfId="89" xr:uid="{00000000-0005-0000-0000-0000E8080000}"/>
    <cellStyle name="Финансовый 2 4 4 2" xfId="231" xr:uid="{00000000-0005-0000-0000-0000E9080000}"/>
    <cellStyle name="Финансовый 2 4 4 2 2" xfId="500" xr:uid="{00000000-0005-0000-0000-0000EA080000}"/>
    <cellStyle name="Финансовый 2 4 4 2 2 2" xfId="1043" xr:uid="{00000000-0005-0000-0000-0000EB080000}"/>
    <cellStyle name="Финансовый 2 4 4 2 2 2 2" xfId="2657" xr:uid="{00000000-0005-0000-0000-0000EC080000}"/>
    <cellStyle name="Финансовый 2 4 4 2 2 3" xfId="1579" xr:uid="{00000000-0005-0000-0000-0000ED080000}"/>
    <cellStyle name="Финансовый 2 4 4 2 2 3 2" xfId="3193" xr:uid="{00000000-0005-0000-0000-0000EE080000}"/>
    <cellStyle name="Финансовый 2 4 4 2 2 4" xfId="2115" xr:uid="{00000000-0005-0000-0000-0000EF080000}"/>
    <cellStyle name="Финансовый 2 4 4 2 3" xfId="775" xr:uid="{00000000-0005-0000-0000-0000F0080000}"/>
    <cellStyle name="Финансовый 2 4 4 2 3 2" xfId="2389" xr:uid="{00000000-0005-0000-0000-0000F1080000}"/>
    <cellStyle name="Финансовый 2 4 4 2 4" xfId="1311" xr:uid="{00000000-0005-0000-0000-0000F2080000}"/>
    <cellStyle name="Финансовый 2 4 4 2 4 2" xfId="2925" xr:uid="{00000000-0005-0000-0000-0000F3080000}"/>
    <cellStyle name="Финансовый 2 4 4 2 5" xfId="1847" xr:uid="{00000000-0005-0000-0000-0000F4080000}"/>
    <cellStyle name="Финансовый 2 4 4 3" xfId="368" xr:uid="{00000000-0005-0000-0000-0000F5080000}"/>
    <cellStyle name="Финансовый 2 4 4 3 2" xfId="911" xr:uid="{00000000-0005-0000-0000-0000F6080000}"/>
    <cellStyle name="Финансовый 2 4 4 3 2 2" xfId="2525" xr:uid="{00000000-0005-0000-0000-0000F7080000}"/>
    <cellStyle name="Финансовый 2 4 4 3 3" xfId="1447" xr:uid="{00000000-0005-0000-0000-0000F8080000}"/>
    <cellStyle name="Финансовый 2 4 4 3 3 2" xfId="3061" xr:uid="{00000000-0005-0000-0000-0000F9080000}"/>
    <cellStyle name="Финансовый 2 4 4 3 4" xfId="1983" xr:uid="{00000000-0005-0000-0000-0000FA080000}"/>
    <cellStyle name="Финансовый 2 4 4 4" xfId="642" xr:uid="{00000000-0005-0000-0000-0000FB080000}"/>
    <cellStyle name="Финансовый 2 4 4 4 2" xfId="2256" xr:uid="{00000000-0005-0000-0000-0000FC080000}"/>
    <cellStyle name="Финансовый 2 4 4 5" xfId="1179" xr:uid="{00000000-0005-0000-0000-0000FD080000}"/>
    <cellStyle name="Финансовый 2 4 4 5 2" xfId="2793" xr:uid="{00000000-0005-0000-0000-0000FE080000}"/>
    <cellStyle name="Финансовый 2 4 4 6" xfId="1715" xr:uid="{00000000-0005-0000-0000-0000FF080000}"/>
    <cellStyle name="Финансовый 2 4 5" xfId="186" xr:uid="{00000000-0005-0000-0000-000000090000}"/>
    <cellStyle name="Финансовый 2 4 5 2" xfId="456" xr:uid="{00000000-0005-0000-0000-000001090000}"/>
    <cellStyle name="Финансовый 2 4 5 2 2" xfId="999" xr:uid="{00000000-0005-0000-0000-000002090000}"/>
    <cellStyle name="Финансовый 2 4 5 2 2 2" xfId="2613" xr:uid="{00000000-0005-0000-0000-000003090000}"/>
    <cellStyle name="Финансовый 2 4 5 2 3" xfId="1535" xr:uid="{00000000-0005-0000-0000-000004090000}"/>
    <cellStyle name="Финансовый 2 4 5 2 3 2" xfId="3149" xr:uid="{00000000-0005-0000-0000-000005090000}"/>
    <cellStyle name="Финансовый 2 4 5 2 4" xfId="2071" xr:uid="{00000000-0005-0000-0000-000006090000}"/>
    <cellStyle name="Финансовый 2 4 5 3" xfId="731" xr:uid="{00000000-0005-0000-0000-000007090000}"/>
    <cellStyle name="Финансовый 2 4 5 3 2" xfId="2345" xr:uid="{00000000-0005-0000-0000-000008090000}"/>
    <cellStyle name="Финансовый 2 4 5 4" xfId="1267" xr:uid="{00000000-0005-0000-0000-000009090000}"/>
    <cellStyle name="Финансовый 2 4 5 4 2" xfId="2881" xr:uid="{00000000-0005-0000-0000-00000A090000}"/>
    <cellStyle name="Финансовый 2 4 5 5" xfId="1803" xr:uid="{00000000-0005-0000-0000-00000B090000}"/>
    <cellStyle name="Финансовый 2 4 6" xfId="324" xr:uid="{00000000-0005-0000-0000-00000C090000}"/>
    <cellStyle name="Финансовый 2 4 6 2" xfId="867" xr:uid="{00000000-0005-0000-0000-00000D090000}"/>
    <cellStyle name="Финансовый 2 4 6 2 2" xfId="2481" xr:uid="{00000000-0005-0000-0000-00000E090000}"/>
    <cellStyle name="Финансовый 2 4 6 3" xfId="1403" xr:uid="{00000000-0005-0000-0000-00000F090000}"/>
    <cellStyle name="Финансовый 2 4 6 3 2" xfId="3017" xr:uid="{00000000-0005-0000-0000-000010090000}"/>
    <cellStyle name="Финансовый 2 4 6 4" xfId="1939" xr:uid="{00000000-0005-0000-0000-000011090000}"/>
    <cellStyle name="Финансовый 2 4 7" xfId="597" xr:uid="{00000000-0005-0000-0000-000012090000}"/>
    <cellStyle name="Финансовый 2 4 7 2" xfId="2211" xr:uid="{00000000-0005-0000-0000-000013090000}"/>
    <cellStyle name="Финансовый 2 4 8" xfId="1135" xr:uid="{00000000-0005-0000-0000-000014090000}"/>
    <cellStyle name="Финансовый 2 4 8 2" xfId="2749" xr:uid="{00000000-0005-0000-0000-000015090000}"/>
    <cellStyle name="Финансовый 2 4 9" xfId="1671" xr:uid="{00000000-0005-0000-0000-000016090000}"/>
    <cellStyle name="Финансовый 2 5" xfId="31" xr:uid="{00000000-0005-0000-0000-000017090000}"/>
    <cellStyle name="Финансовый 2 5 2" xfId="126" xr:uid="{00000000-0005-0000-0000-000018090000}"/>
    <cellStyle name="Финансовый 2 5 2 2" xfId="267" xr:uid="{00000000-0005-0000-0000-000019090000}"/>
    <cellStyle name="Финансовый 2 5 2 2 2" xfId="536" xr:uid="{00000000-0005-0000-0000-00001A090000}"/>
    <cellStyle name="Финансовый 2 5 2 2 2 2" xfId="1079" xr:uid="{00000000-0005-0000-0000-00001B090000}"/>
    <cellStyle name="Финансовый 2 5 2 2 2 2 2" xfId="2693" xr:uid="{00000000-0005-0000-0000-00001C090000}"/>
    <cellStyle name="Финансовый 2 5 2 2 2 3" xfId="1615" xr:uid="{00000000-0005-0000-0000-00001D090000}"/>
    <cellStyle name="Финансовый 2 5 2 2 2 3 2" xfId="3229" xr:uid="{00000000-0005-0000-0000-00001E090000}"/>
    <cellStyle name="Финансовый 2 5 2 2 2 4" xfId="2151" xr:uid="{00000000-0005-0000-0000-00001F090000}"/>
    <cellStyle name="Финансовый 2 5 2 2 3" xfId="811" xr:uid="{00000000-0005-0000-0000-000020090000}"/>
    <cellStyle name="Финансовый 2 5 2 2 3 2" xfId="2425" xr:uid="{00000000-0005-0000-0000-000021090000}"/>
    <cellStyle name="Финансовый 2 5 2 2 4" xfId="1347" xr:uid="{00000000-0005-0000-0000-000022090000}"/>
    <cellStyle name="Финансовый 2 5 2 2 4 2" xfId="2961" xr:uid="{00000000-0005-0000-0000-000023090000}"/>
    <cellStyle name="Финансовый 2 5 2 2 5" xfId="1883" xr:uid="{00000000-0005-0000-0000-000024090000}"/>
    <cellStyle name="Финансовый 2 5 2 3" xfId="404" xr:uid="{00000000-0005-0000-0000-000025090000}"/>
    <cellStyle name="Финансовый 2 5 2 3 2" xfId="947" xr:uid="{00000000-0005-0000-0000-000026090000}"/>
    <cellStyle name="Финансовый 2 5 2 3 2 2" xfId="2561" xr:uid="{00000000-0005-0000-0000-000027090000}"/>
    <cellStyle name="Финансовый 2 5 2 3 3" xfId="1483" xr:uid="{00000000-0005-0000-0000-000028090000}"/>
    <cellStyle name="Финансовый 2 5 2 3 3 2" xfId="3097" xr:uid="{00000000-0005-0000-0000-000029090000}"/>
    <cellStyle name="Финансовый 2 5 2 3 4" xfId="2019" xr:uid="{00000000-0005-0000-0000-00002A090000}"/>
    <cellStyle name="Финансовый 2 5 2 4" xfId="678" xr:uid="{00000000-0005-0000-0000-00002B090000}"/>
    <cellStyle name="Финансовый 2 5 2 4 2" xfId="2292" xr:uid="{00000000-0005-0000-0000-00002C090000}"/>
    <cellStyle name="Финансовый 2 5 2 5" xfId="1215" xr:uid="{00000000-0005-0000-0000-00002D090000}"/>
    <cellStyle name="Финансовый 2 5 2 5 2" xfId="2829" xr:uid="{00000000-0005-0000-0000-00002E090000}"/>
    <cellStyle name="Финансовый 2 5 2 6" xfId="1751" xr:uid="{00000000-0005-0000-0000-00002F090000}"/>
    <cellStyle name="Финансовый 2 5 3" xfId="78" xr:uid="{00000000-0005-0000-0000-000030090000}"/>
    <cellStyle name="Финансовый 2 5 3 2" xfId="222" xr:uid="{00000000-0005-0000-0000-000031090000}"/>
    <cellStyle name="Финансовый 2 5 3 2 2" xfId="492" xr:uid="{00000000-0005-0000-0000-000032090000}"/>
    <cellStyle name="Финансовый 2 5 3 2 2 2" xfId="1035" xr:uid="{00000000-0005-0000-0000-000033090000}"/>
    <cellStyle name="Финансовый 2 5 3 2 2 2 2" xfId="2649" xr:uid="{00000000-0005-0000-0000-000034090000}"/>
    <cellStyle name="Финансовый 2 5 3 2 2 3" xfId="1571" xr:uid="{00000000-0005-0000-0000-000035090000}"/>
    <cellStyle name="Финансовый 2 5 3 2 2 3 2" xfId="3185" xr:uid="{00000000-0005-0000-0000-000036090000}"/>
    <cellStyle name="Финансовый 2 5 3 2 2 4" xfId="2107" xr:uid="{00000000-0005-0000-0000-000037090000}"/>
    <cellStyle name="Финансовый 2 5 3 2 3" xfId="767" xr:uid="{00000000-0005-0000-0000-000038090000}"/>
    <cellStyle name="Финансовый 2 5 3 2 3 2" xfId="2381" xr:uid="{00000000-0005-0000-0000-000039090000}"/>
    <cellStyle name="Финансовый 2 5 3 2 4" xfId="1303" xr:uid="{00000000-0005-0000-0000-00003A090000}"/>
    <cellStyle name="Финансовый 2 5 3 2 4 2" xfId="2917" xr:uid="{00000000-0005-0000-0000-00003B090000}"/>
    <cellStyle name="Финансовый 2 5 3 2 5" xfId="1839" xr:uid="{00000000-0005-0000-0000-00003C090000}"/>
    <cellStyle name="Финансовый 2 5 3 3" xfId="360" xr:uid="{00000000-0005-0000-0000-00003D090000}"/>
    <cellStyle name="Финансовый 2 5 3 3 2" xfId="903" xr:uid="{00000000-0005-0000-0000-00003E090000}"/>
    <cellStyle name="Финансовый 2 5 3 3 2 2" xfId="2517" xr:uid="{00000000-0005-0000-0000-00003F090000}"/>
    <cellStyle name="Финансовый 2 5 3 3 3" xfId="1439" xr:uid="{00000000-0005-0000-0000-000040090000}"/>
    <cellStyle name="Финансовый 2 5 3 3 3 2" xfId="3053" xr:uid="{00000000-0005-0000-0000-000041090000}"/>
    <cellStyle name="Финансовый 2 5 3 3 4" xfId="1975" xr:uid="{00000000-0005-0000-0000-000042090000}"/>
    <cellStyle name="Финансовый 2 5 3 4" xfId="633" xr:uid="{00000000-0005-0000-0000-000043090000}"/>
    <cellStyle name="Финансовый 2 5 3 4 2" xfId="2247" xr:uid="{00000000-0005-0000-0000-000044090000}"/>
    <cellStyle name="Финансовый 2 5 3 5" xfId="1171" xr:uid="{00000000-0005-0000-0000-000045090000}"/>
    <cellStyle name="Финансовый 2 5 3 5 2" xfId="2785" xr:uid="{00000000-0005-0000-0000-000046090000}"/>
    <cellStyle name="Финансовый 2 5 3 6" xfId="1707" xr:uid="{00000000-0005-0000-0000-000047090000}"/>
    <cellStyle name="Финансовый 2 5 4" xfId="177" xr:uid="{00000000-0005-0000-0000-000048090000}"/>
    <cellStyle name="Финансовый 2 5 4 2" xfId="448" xr:uid="{00000000-0005-0000-0000-000049090000}"/>
    <cellStyle name="Финансовый 2 5 4 2 2" xfId="991" xr:uid="{00000000-0005-0000-0000-00004A090000}"/>
    <cellStyle name="Финансовый 2 5 4 2 2 2" xfId="2605" xr:uid="{00000000-0005-0000-0000-00004B090000}"/>
    <cellStyle name="Финансовый 2 5 4 2 3" xfId="1527" xr:uid="{00000000-0005-0000-0000-00004C090000}"/>
    <cellStyle name="Финансовый 2 5 4 2 3 2" xfId="3141" xr:uid="{00000000-0005-0000-0000-00004D090000}"/>
    <cellStyle name="Финансовый 2 5 4 2 4" xfId="2063" xr:uid="{00000000-0005-0000-0000-00004E090000}"/>
    <cellStyle name="Финансовый 2 5 4 3" xfId="723" xr:uid="{00000000-0005-0000-0000-00004F090000}"/>
    <cellStyle name="Финансовый 2 5 4 3 2" xfId="2337" xr:uid="{00000000-0005-0000-0000-000050090000}"/>
    <cellStyle name="Финансовый 2 5 4 4" xfId="1259" xr:uid="{00000000-0005-0000-0000-000051090000}"/>
    <cellStyle name="Финансовый 2 5 4 4 2" xfId="2873" xr:uid="{00000000-0005-0000-0000-000052090000}"/>
    <cellStyle name="Финансовый 2 5 4 5" xfId="1795" xr:uid="{00000000-0005-0000-0000-000053090000}"/>
    <cellStyle name="Финансовый 2 5 5" xfId="316" xr:uid="{00000000-0005-0000-0000-000054090000}"/>
    <cellStyle name="Финансовый 2 5 5 2" xfId="859" xr:uid="{00000000-0005-0000-0000-000055090000}"/>
    <cellStyle name="Финансовый 2 5 5 2 2" xfId="2473" xr:uid="{00000000-0005-0000-0000-000056090000}"/>
    <cellStyle name="Финансовый 2 5 5 3" xfId="1395" xr:uid="{00000000-0005-0000-0000-000057090000}"/>
    <cellStyle name="Финансовый 2 5 5 3 2" xfId="3009" xr:uid="{00000000-0005-0000-0000-000058090000}"/>
    <cellStyle name="Финансовый 2 5 5 4" xfId="1931" xr:uid="{00000000-0005-0000-0000-000059090000}"/>
    <cellStyle name="Финансовый 2 5 6" xfId="588" xr:uid="{00000000-0005-0000-0000-00005A090000}"/>
    <cellStyle name="Финансовый 2 5 6 2" xfId="2202" xr:uid="{00000000-0005-0000-0000-00005B090000}"/>
    <cellStyle name="Финансовый 2 5 7" xfId="1127" xr:uid="{00000000-0005-0000-0000-00005C090000}"/>
    <cellStyle name="Финансовый 2 5 7 2" xfId="2741" xr:uid="{00000000-0005-0000-0000-00005D090000}"/>
    <cellStyle name="Финансовый 2 5 8" xfId="1663" xr:uid="{00000000-0005-0000-0000-00005E090000}"/>
    <cellStyle name="Финансовый 2 6" xfId="51" xr:uid="{00000000-0005-0000-0000-00005F090000}"/>
    <cellStyle name="Финансовый 2 6 2" xfId="146" xr:uid="{00000000-0005-0000-0000-000060090000}"/>
    <cellStyle name="Финансовый 2 6 2 2" xfId="285" xr:uid="{00000000-0005-0000-0000-000061090000}"/>
    <cellStyle name="Финансовый 2 6 2 2 2" xfId="553" xr:uid="{00000000-0005-0000-0000-000062090000}"/>
    <cellStyle name="Финансовый 2 6 2 2 2 2" xfId="1096" xr:uid="{00000000-0005-0000-0000-000063090000}"/>
    <cellStyle name="Финансовый 2 6 2 2 2 2 2" xfId="2710" xr:uid="{00000000-0005-0000-0000-000064090000}"/>
    <cellStyle name="Финансовый 2 6 2 2 2 3" xfId="1632" xr:uid="{00000000-0005-0000-0000-000065090000}"/>
    <cellStyle name="Финансовый 2 6 2 2 2 3 2" xfId="3246" xr:uid="{00000000-0005-0000-0000-000066090000}"/>
    <cellStyle name="Финансовый 2 6 2 2 2 4" xfId="2168" xr:uid="{00000000-0005-0000-0000-000067090000}"/>
    <cellStyle name="Финансовый 2 6 2 2 3" xfId="828" xr:uid="{00000000-0005-0000-0000-000068090000}"/>
    <cellStyle name="Финансовый 2 6 2 2 3 2" xfId="2442" xr:uid="{00000000-0005-0000-0000-000069090000}"/>
    <cellStyle name="Финансовый 2 6 2 2 4" xfId="1364" xr:uid="{00000000-0005-0000-0000-00006A090000}"/>
    <cellStyle name="Финансовый 2 6 2 2 4 2" xfId="2978" xr:uid="{00000000-0005-0000-0000-00006B090000}"/>
    <cellStyle name="Финансовый 2 6 2 2 5" xfId="1900" xr:uid="{00000000-0005-0000-0000-00006C090000}"/>
    <cellStyle name="Финансовый 2 6 2 3" xfId="421" xr:uid="{00000000-0005-0000-0000-00006D090000}"/>
    <cellStyle name="Финансовый 2 6 2 3 2" xfId="964" xr:uid="{00000000-0005-0000-0000-00006E090000}"/>
    <cellStyle name="Финансовый 2 6 2 3 2 2" xfId="2578" xr:uid="{00000000-0005-0000-0000-00006F090000}"/>
    <cellStyle name="Финансовый 2 6 2 3 3" xfId="1500" xr:uid="{00000000-0005-0000-0000-000070090000}"/>
    <cellStyle name="Финансовый 2 6 2 3 3 2" xfId="3114" xr:uid="{00000000-0005-0000-0000-000071090000}"/>
    <cellStyle name="Финансовый 2 6 2 3 4" xfId="2036" xr:uid="{00000000-0005-0000-0000-000072090000}"/>
    <cellStyle name="Финансовый 2 6 2 4" xfId="696" xr:uid="{00000000-0005-0000-0000-000073090000}"/>
    <cellStyle name="Финансовый 2 6 2 4 2" xfId="2310" xr:uid="{00000000-0005-0000-0000-000074090000}"/>
    <cellStyle name="Финансовый 2 6 2 5" xfId="1232" xr:uid="{00000000-0005-0000-0000-000075090000}"/>
    <cellStyle name="Финансовый 2 6 2 5 2" xfId="2846" xr:uid="{00000000-0005-0000-0000-000076090000}"/>
    <cellStyle name="Финансовый 2 6 2 6" xfId="1768" xr:uid="{00000000-0005-0000-0000-000077090000}"/>
    <cellStyle name="Финансовый 2 6 3" xfId="98" xr:uid="{00000000-0005-0000-0000-000078090000}"/>
    <cellStyle name="Финансовый 2 6 3 2" xfId="240" xr:uid="{00000000-0005-0000-0000-000079090000}"/>
    <cellStyle name="Финансовый 2 6 3 2 2" xfId="509" xr:uid="{00000000-0005-0000-0000-00007A090000}"/>
    <cellStyle name="Финансовый 2 6 3 2 2 2" xfId="1052" xr:uid="{00000000-0005-0000-0000-00007B090000}"/>
    <cellStyle name="Финансовый 2 6 3 2 2 2 2" xfId="2666" xr:uid="{00000000-0005-0000-0000-00007C090000}"/>
    <cellStyle name="Финансовый 2 6 3 2 2 3" xfId="1588" xr:uid="{00000000-0005-0000-0000-00007D090000}"/>
    <cellStyle name="Финансовый 2 6 3 2 2 3 2" xfId="3202" xr:uid="{00000000-0005-0000-0000-00007E090000}"/>
    <cellStyle name="Финансовый 2 6 3 2 2 4" xfId="2124" xr:uid="{00000000-0005-0000-0000-00007F090000}"/>
    <cellStyle name="Финансовый 2 6 3 2 3" xfId="784" xr:uid="{00000000-0005-0000-0000-000080090000}"/>
    <cellStyle name="Финансовый 2 6 3 2 3 2" xfId="2398" xr:uid="{00000000-0005-0000-0000-000081090000}"/>
    <cellStyle name="Финансовый 2 6 3 2 4" xfId="1320" xr:uid="{00000000-0005-0000-0000-000082090000}"/>
    <cellStyle name="Финансовый 2 6 3 2 4 2" xfId="2934" xr:uid="{00000000-0005-0000-0000-000083090000}"/>
    <cellStyle name="Финансовый 2 6 3 2 5" xfId="1856" xr:uid="{00000000-0005-0000-0000-000084090000}"/>
    <cellStyle name="Финансовый 2 6 3 3" xfId="377" xr:uid="{00000000-0005-0000-0000-000085090000}"/>
    <cellStyle name="Финансовый 2 6 3 3 2" xfId="920" xr:uid="{00000000-0005-0000-0000-000086090000}"/>
    <cellStyle name="Финансовый 2 6 3 3 2 2" xfId="2534" xr:uid="{00000000-0005-0000-0000-000087090000}"/>
    <cellStyle name="Финансовый 2 6 3 3 3" xfId="1456" xr:uid="{00000000-0005-0000-0000-000088090000}"/>
    <cellStyle name="Финансовый 2 6 3 3 3 2" xfId="3070" xr:uid="{00000000-0005-0000-0000-000089090000}"/>
    <cellStyle name="Финансовый 2 6 3 3 4" xfId="1992" xr:uid="{00000000-0005-0000-0000-00008A090000}"/>
    <cellStyle name="Финансовый 2 6 3 4" xfId="651" xr:uid="{00000000-0005-0000-0000-00008B090000}"/>
    <cellStyle name="Финансовый 2 6 3 4 2" xfId="2265" xr:uid="{00000000-0005-0000-0000-00008C090000}"/>
    <cellStyle name="Финансовый 2 6 3 5" xfId="1188" xr:uid="{00000000-0005-0000-0000-00008D090000}"/>
    <cellStyle name="Финансовый 2 6 3 5 2" xfId="2802" xr:uid="{00000000-0005-0000-0000-00008E090000}"/>
    <cellStyle name="Финансовый 2 6 3 6" xfId="1724" xr:uid="{00000000-0005-0000-0000-00008F090000}"/>
    <cellStyle name="Финансовый 2 6 4" xfId="195" xr:uid="{00000000-0005-0000-0000-000090090000}"/>
    <cellStyle name="Финансовый 2 6 4 2" xfId="465" xr:uid="{00000000-0005-0000-0000-000091090000}"/>
    <cellStyle name="Финансовый 2 6 4 2 2" xfId="1008" xr:uid="{00000000-0005-0000-0000-000092090000}"/>
    <cellStyle name="Финансовый 2 6 4 2 2 2" xfId="2622" xr:uid="{00000000-0005-0000-0000-000093090000}"/>
    <cellStyle name="Финансовый 2 6 4 2 3" xfId="1544" xr:uid="{00000000-0005-0000-0000-000094090000}"/>
    <cellStyle name="Финансовый 2 6 4 2 3 2" xfId="3158" xr:uid="{00000000-0005-0000-0000-000095090000}"/>
    <cellStyle name="Финансовый 2 6 4 2 4" xfId="2080" xr:uid="{00000000-0005-0000-0000-000096090000}"/>
    <cellStyle name="Финансовый 2 6 4 3" xfId="740" xr:uid="{00000000-0005-0000-0000-000097090000}"/>
    <cellStyle name="Финансовый 2 6 4 3 2" xfId="2354" xr:uid="{00000000-0005-0000-0000-000098090000}"/>
    <cellStyle name="Финансовый 2 6 4 4" xfId="1276" xr:uid="{00000000-0005-0000-0000-000099090000}"/>
    <cellStyle name="Финансовый 2 6 4 4 2" xfId="2890" xr:uid="{00000000-0005-0000-0000-00009A090000}"/>
    <cellStyle name="Финансовый 2 6 4 5" xfId="1812" xr:uid="{00000000-0005-0000-0000-00009B090000}"/>
    <cellStyle name="Финансовый 2 6 5" xfId="333" xr:uid="{00000000-0005-0000-0000-00009C090000}"/>
    <cellStyle name="Финансовый 2 6 5 2" xfId="876" xr:uid="{00000000-0005-0000-0000-00009D090000}"/>
    <cellStyle name="Финансовый 2 6 5 2 2" xfId="2490" xr:uid="{00000000-0005-0000-0000-00009E090000}"/>
    <cellStyle name="Финансовый 2 6 5 3" xfId="1412" xr:uid="{00000000-0005-0000-0000-00009F090000}"/>
    <cellStyle name="Финансовый 2 6 5 3 2" xfId="3026" xr:uid="{00000000-0005-0000-0000-0000A0090000}"/>
    <cellStyle name="Финансовый 2 6 5 4" xfId="1948" xr:uid="{00000000-0005-0000-0000-0000A1090000}"/>
    <cellStyle name="Финансовый 2 6 6" xfId="606" xr:uid="{00000000-0005-0000-0000-0000A2090000}"/>
    <cellStyle name="Финансовый 2 6 6 2" xfId="2220" xr:uid="{00000000-0005-0000-0000-0000A3090000}"/>
    <cellStyle name="Финансовый 2 6 7" xfId="1144" xr:uid="{00000000-0005-0000-0000-0000A4090000}"/>
    <cellStyle name="Финансовый 2 6 7 2" xfId="2758" xr:uid="{00000000-0005-0000-0000-0000A5090000}"/>
    <cellStyle name="Финансовый 2 6 8" xfId="1680" xr:uid="{00000000-0005-0000-0000-0000A6090000}"/>
    <cellStyle name="Финансовый 2 7" xfId="117" xr:uid="{00000000-0005-0000-0000-0000A7090000}"/>
    <cellStyle name="Финансовый 2 7 2" xfId="258" xr:uid="{00000000-0005-0000-0000-0000A8090000}"/>
    <cellStyle name="Финансовый 2 7 2 2" xfId="527" xr:uid="{00000000-0005-0000-0000-0000A9090000}"/>
    <cellStyle name="Финансовый 2 7 2 2 2" xfId="1070" xr:uid="{00000000-0005-0000-0000-0000AA090000}"/>
    <cellStyle name="Финансовый 2 7 2 2 2 2" xfId="2684" xr:uid="{00000000-0005-0000-0000-0000AB090000}"/>
    <cellStyle name="Финансовый 2 7 2 2 3" xfId="1606" xr:uid="{00000000-0005-0000-0000-0000AC090000}"/>
    <cellStyle name="Финансовый 2 7 2 2 3 2" xfId="3220" xr:uid="{00000000-0005-0000-0000-0000AD090000}"/>
    <cellStyle name="Финансовый 2 7 2 2 4" xfId="2142" xr:uid="{00000000-0005-0000-0000-0000AE090000}"/>
    <cellStyle name="Финансовый 2 7 2 3" xfId="802" xr:uid="{00000000-0005-0000-0000-0000AF090000}"/>
    <cellStyle name="Финансовый 2 7 2 3 2" xfId="2416" xr:uid="{00000000-0005-0000-0000-0000B0090000}"/>
    <cellStyle name="Финансовый 2 7 2 4" xfId="1338" xr:uid="{00000000-0005-0000-0000-0000B1090000}"/>
    <cellStyle name="Финансовый 2 7 2 4 2" xfId="2952" xr:uid="{00000000-0005-0000-0000-0000B2090000}"/>
    <cellStyle name="Финансовый 2 7 2 5" xfId="1874" xr:uid="{00000000-0005-0000-0000-0000B3090000}"/>
    <cellStyle name="Финансовый 2 7 3" xfId="395" xr:uid="{00000000-0005-0000-0000-0000B4090000}"/>
    <cellStyle name="Финансовый 2 7 3 2" xfId="938" xr:uid="{00000000-0005-0000-0000-0000B5090000}"/>
    <cellStyle name="Финансовый 2 7 3 2 2" xfId="2552" xr:uid="{00000000-0005-0000-0000-0000B6090000}"/>
    <cellStyle name="Финансовый 2 7 3 3" xfId="1474" xr:uid="{00000000-0005-0000-0000-0000B7090000}"/>
    <cellStyle name="Финансовый 2 7 3 3 2" xfId="3088" xr:uid="{00000000-0005-0000-0000-0000B8090000}"/>
    <cellStyle name="Финансовый 2 7 3 4" xfId="2010" xr:uid="{00000000-0005-0000-0000-0000B9090000}"/>
    <cellStyle name="Финансовый 2 7 4" xfId="669" xr:uid="{00000000-0005-0000-0000-0000BA090000}"/>
    <cellStyle name="Финансовый 2 7 4 2" xfId="2283" xr:uid="{00000000-0005-0000-0000-0000BB090000}"/>
    <cellStyle name="Финансовый 2 7 5" xfId="1206" xr:uid="{00000000-0005-0000-0000-0000BC090000}"/>
    <cellStyle name="Финансовый 2 7 5 2" xfId="2820" xr:uid="{00000000-0005-0000-0000-0000BD090000}"/>
    <cellStyle name="Финансовый 2 7 6" xfId="1742" xr:uid="{00000000-0005-0000-0000-0000BE090000}"/>
    <cellStyle name="Финансовый 2 8" xfId="69" xr:uid="{00000000-0005-0000-0000-0000BF090000}"/>
    <cellStyle name="Финансовый 2 8 2" xfId="213" xr:uid="{00000000-0005-0000-0000-0000C0090000}"/>
    <cellStyle name="Финансовый 2 8 2 2" xfId="483" xr:uid="{00000000-0005-0000-0000-0000C1090000}"/>
    <cellStyle name="Финансовый 2 8 2 2 2" xfId="1026" xr:uid="{00000000-0005-0000-0000-0000C2090000}"/>
    <cellStyle name="Финансовый 2 8 2 2 2 2" xfId="2640" xr:uid="{00000000-0005-0000-0000-0000C3090000}"/>
    <cellStyle name="Финансовый 2 8 2 2 3" xfId="1562" xr:uid="{00000000-0005-0000-0000-0000C4090000}"/>
    <cellStyle name="Финансовый 2 8 2 2 3 2" xfId="3176" xr:uid="{00000000-0005-0000-0000-0000C5090000}"/>
    <cellStyle name="Финансовый 2 8 2 2 4" xfId="2098" xr:uid="{00000000-0005-0000-0000-0000C6090000}"/>
    <cellStyle name="Финансовый 2 8 2 3" xfId="758" xr:uid="{00000000-0005-0000-0000-0000C7090000}"/>
    <cellStyle name="Финансовый 2 8 2 3 2" xfId="2372" xr:uid="{00000000-0005-0000-0000-0000C8090000}"/>
    <cellStyle name="Финансовый 2 8 2 4" xfId="1294" xr:uid="{00000000-0005-0000-0000-0000C9090000}"/>
    <cellStyle name="Финансовый 2 8 2 4 2" xfId="2908" xr:uid="{00000000-0005-0000-0000-0000CA090000}"/>
    <cellStyle name="Финансовый 2 8 2 5" xfId="1830" xr:uid="{00000000-0005-0000-0000-0000CB090000}"/>
    <cellStyle name="Финансовый 2 8 3" xfId="351" xr:uid="{00000000-0005-0000-0000-0000CC090000}"/>
    <cellStyle name="Финансовый 2 8 3 2" xfId="894" xr:uid="{00000000-0005-0000-0000-0000CD090000}"/>
    <cellStyle name="Финансовый 2 8 3 2 2" xfId="2508" xr:uid="{00000000-0005-0000-0000-0000CE090000}"/>
    <cellStyle name="Финансовый 2 8 3 3" xfId="1430" xr:uid="{00000000-0005-0000-0000-0000CF090000}"/>
    <cellStyle name="Финансовый 2 8 3 3 2" xfId="3044" xr:uid="{00000000-0005-0000-0000-0000D0090000}"/>
    <cellStyle name="Финансовый 2 8 3 4" xfId="1966" xr:uid="{00000000-0005-0000-0000-0000D1090000}"/>
    <cellStyle name="Финансовый 2 8 4" xfId="624" xr:uid="{00000000-0005-0000-0000-0000D2090000}"/>
    <cellStyle name="Финансовый 2 8 4 2" xfId="2238" xr:uid="{00000000-0005-0000-0000-0000D3090000}"/>
    <cellStyle name="Финансовый 2 8 5" xfId="1162" xr:uid="{00000000-0005-0000-0000-0000D4090000}"/>
    <cellStyle name="Финансовый 2 8 5 2" xfId="2776" xr:uid="{00000000-0005-0000-0000-0000D5090000}"/>
    <cellStyle name="Финансовый 2 8 6" xfId="1698" xr:uid="{00000000-0005-0000-0000-0000D6090000}"/>
    <cellStyle name="Финансовый 2 9" xfId="165" xr:uid="{00000000-0005-0000-0000-0000D7090000}"/>
    <cellStyle name="Финансовый 2 9 2" xfId="439" xr:uid="{00000000-0005-0000-0000-0000D8090000}"/>
    <cellStyle name="Финансовый 2 9 2 2" xfId="982" xr:uid="{00000000-0005-0000-0000-0000D9090000}"/>
    <cellStyle name="Финансовый 2 9 2 2 2" xfId="2596" xr:uid="{00000000-0005-0000-0000-0000DA090000}"/>
    <cellStyle name="Финансовый 2 9 2 3" xfId="1518" xr:uid="{00000000-0005-0000-0000-0000DB090000}"/>
    <cellStyle name="Финансовый 2 9 2 3 2" xfId="3132" xr:uid="{00000000-0005-0000-0000-0000DC090000}"/>
    <cellStyle name="Финансовый 2 9 2 4" xfId="2054" xr:uid="{00000000-0005-0000-0000-0000DD090000}"/>
    <cellStyle name="Финансовый 2 9 3" xfId="714" xr:uid="{00000000-0005-0000-0000-0000DE090000}"/>
    <cellStyle name="Финансовый 2 9 3 2" xfId="2328" xr:uid="{00000000-0005-0000-0000-0000DF090000}"/>
    <cellStyle name="Финансовый 2 9 4" xfId="1250" xr:uid="{00000000-0005-0000-0000-0000E0090000}"/>
    <cellStyle name="Финансовый 2 9 4 2" xfId="2864" xr:uid="{00000000-0005-0000-0000-0000E1090000}"/>
    <cellStyle name="Финансовый 2 9 5" xfId="1786" xr:uid="{00000000-0005-0000-0000-0000E2090000}"/>
    <cellStyle name="Финансовый 3" xfId="21" xr:uid="{00000000-0005-0000-0000-0000E3090000}"/>
    <cellStyle name="Финансовый 3 2" xfId="29" xr:uid="{00000000-0005-0000-0000-0000E4090000}"/>
    <cellStyle name="Финансовый 3 2 2" xfId="175" xr:uid="{00000000-0005-0000-0000-0000E5090000}"/>
    <cellStyle name="Финансовый 3 2 3" xfId="586" xr:uid="{00000000-0005-0000-0000-0000E6090000}"/>
    <cellStyle name="Финансовый 3 2 3 2" xfId="2200" xr:uid="{00000000-0005-0000-0000-0000E7090000}"/>
    <cellStyle name="Финансовый 3 2 3 2 2" xfId="3283" xr:uid="{00000000-0005-0000-0000-0000E8090000}"/>
    <cellStyle name="Финансовый 3 2 3 3" xfId="3277" xr:uid="{00000000-0005-0000-0000-0000E9090000}"/>
    <cellStyle name="Финансовый 3 2 4" xfId="3271" xr:uid="{00000000-0005-0000-0000-0000EA090000}"/>
    <cellStyle name="Финансовый 3 3" xfId="36" xr:uid="{00000000-0005-0000-0000-0000EB090000}"/>
    <cellStyle name="Финансовый 3 3 2" xfId="131" xr:uid="{00000000-0005-0000-0000-0000EC090000}"/>
    <cellStyle name="Финансовый 3 3 2 2" xfId="270" xr:uid="{00000000-0005-0000-0000-0000ED090000}"/>
    <cellStyle name="Финансовый 3 3 2 3" xfId="681" xr:uid="{00000000-0005-0000-0000-0000EE090000}"/>
    <cellStyle name="Финансовый 3 3 2 3 2" xfId="2295" xr:uid="{00000000-0005-0000-0000-0000EF090000}"/>
    <cellStyle name="Финансовый 3 3 2 3 2 2" xfId="3286" xr:uid="{00000000-0005-0000-0000-0000F0090000}"/>
    <cellStyle name="Финансовый 3 3 2 3 3" xfId="3280" xr:uid="{00000000-0005-0000-0000-0000F1090000}"/>
    <cellStyle name="Финансовый 3 3 2 4" xfId="3274" xr:uid="{00000000-0005-0000-0000-0000F2090000}"/>
    <cellStyle name="Финансовый 3 3 3" xfId="83" xr:uid="{00000000-0005-0000-0000-0000F3090000}"/>
    <cellStyle name="Финансовый 3 3 3 2" xfId="225" xr:uid="{00000000-0005-0000-0000-0000F4090000}"/>
    <cellStyle name="Финансовый 3 3 3 3" xfId="636" xr:uid="{00000000-0005-0000-0000-0000F5090000}"/>
    <cellStyle name="Финансовый 3 3 3 3 2" xfId="2250" xr:uid="{00000000-0005-0000-0000-0000F6090000}"/>
    <cellStyle name="Финансовый 3 3 3 3 2 2" xfId="3285" xr:uid="{00000000-0005-0000-0000-0000F7090000}"/>
    <cellStyle name="Финансовый 3 3 3 3 3" xfId="3279" xr:uid="{00000000-0005-0000-0000-0000F8090000}"/>
    <cellStyle name="Финансовый 3 3 3 4" xfId="3273" xr:uid="{00000000-0005-0000-0000-0000F9090000}"/>
    <cellStyle name="Финансовый 3 3 4" xfId="180" xr:uid="{00000000-0005-0000-0000-0000FA090000}"/>
    <cellStyle name="Финансовый 3 3 5" xfId="591" xr:uid="{00000000-0005-0000-0000-0000FB090000}"/>
    <cellStyle name="Финансовый 3 3 5 2" xfId="2205" xr:uid="{00000000-0005-0000-0000-0000FC090000}"/>
    <cellStyle name="Финансовый 3 3 5 2 2" xfId="3284" xr:uid="{00000000-0005-0000-0000-0000FD090000}"/>
    <cellStyle name="Финансовый 3 3 5 3" xfId="3278" xr:uid="{00000000-0005-0000-0000-0000FE090000}"/>
    <cellStyle name="Финансовый 3 3 6" xfId="3272" xr:uid="{00000000-0005-0000-0000-0000FF090000}"/>
    <cellStyle name="Финансовый 3 4" xfId="169" xr:uid="{00000000-0005-0000-0000-0000000A0000}"/>
    <cellStyle name="Финансовый 3 5" xfId="580" xr:uid="{00000000-0005-0000-0000-0000010A0000}"/>
    <cellStyle name="Финансовый 3 5 2" xfId="2194" xr:uid="{00000000-0005-0000-0000-0000020A0000}"/>
    <cellStyle name="Финансовый 3 5 2 2" xfId="3282" xr:uid="{00000000-0005-0000-0000-0000030A0000}"/>
    <cellStyle name="Финансовый 3 5 3" xfId="3276" xr:uid="{00000000-0005-0000-0000-0000040A0000}"/>
    <cellStyle name="Финансовый 3 6" xfId="3270" xr:uid="{00000000-0005-0000-0000-0000050A0000}"/>
    <cellStyle name="Финансовый 4" xfId="19" xr:uid="{00000000-0005-0000-0000-0000060A0000}"/>
    <cellStyle name="Финансовый 4 10" xfId="578" xr:uid="{00000000-0005-0000-0000-0000070A0000}"/>
    <cellStyle name="Финансовый 4 10 2" xfId="2192" xr:uid="{00000000-0005-0000-0000-0000080A0000}"/>
    <cellStyle name="Финансовый 4 11" xfId="1120" xr:uid="{00000000-0005-0000-0000-0000090A0000}"/>
    <cellStyle name="Финансовый 4 11 2" xfId="2734" xr:uid="{00000000-0005-0000-0000-00000A0A0000}"/>
    <cellStyle name="Финансовый 4 12" xfId="1656" xr:uid="{00000000-0005-0000-0000-00000B0A0000}"/>
    <cellStyle name="Финансовый 4 2" xfId="28" xr:uid="{00000000-0005-0000-0000-00000C0A0000}"/>
    <cellStyle name="Финансовый 4 2 10" xfId="1125" xr:uid="{00000000-0005-0000-0000-00000D0A0000}"/>
    <cellStyle name="Финансовый 4 2 10 2" xfId="2739" xr:uid="{00000000-0005-0000-0000-00000E0A0000}"/>
    <cellStyle name="Финансовый 4 2 11" xfId="1661" xr:uid="{00000000-0005-0000-0000-00000F0A0000}"/>
    <cellStyle name="Финансовый 4 2 2" xfId="49" xr:uid="{00000000-0005-0000-0000-0000100A0000}"/>
    <cellStyle name="Финансовый 4 2 2 2" xfId="67" xr:uid="{00000000-0005-0000-0000-0000110A0000}"/>
    <cellStyle name="Финансовый 4 2 2 2 2" xfId="162" xr:uid="{00000000-0005-0000-0000-0000120A0000}"/>
    <cellStyle name="Финансовый 4 2 2 2 2 2" xfId="301" xr:uid="{00000000-0005-0000-0000-0000130A0000}"/>
    <cellStyle name="Финансовый 4 2 2 2 2 2 2" xfId="569" xr:uid="{00000000-0005-0000-0000-0000140A0000}"/>
    <cellStyle name="Финансовый 4 2 2 2 2 2 2 2" xfId="1112" xr:uid="{00000000-0005-0000-0000-0000150A0000}"/>
    <cellStyle name="Финансовый 4 2 2 2 2 2 2 2 2" xfId="2726" xr:uid="{00000000-0005-0000-0000-0000160A0000}"/>
    <cellStyle name="Финансовый 4 2 2 2 2 2 2 3" xfId="1648" xr:uid="{00000000-0005-0000-0000-0000170A0000}"/>
    <cellStyle name="Финансовый 4 2 2 2 2 2 2 3 2" xfId="3262" xr:uid="{00000000-0005-0000-0000-0000180A0000}"/>
    <cellStyle name="Финансовый 4 2 2 2 2 2 2 4" xfId="2184" xr:uid="{00000000-0005-0000-0000-0000190A0000}"/>
    <cellStyle name="Финансовый 4 2 2 2 2 2 3" xfId="844" xr:uid="{00000000-0005-0000-0000-00001A0A0000}"/>
    <cellStyle name="Финансовый 4 2 2 2 2 2 3 2" xfId="2458" xr:uid="{00000000-0005-0000-0000-00001B0A0000}"/>
    <cellStyle name="Финансовый 4 2 2 2 2 2 4" xfId="1380" xr:uid="{00000000-0005-0000-0000-00001C0A0000}"/>
    <cellStyle name="Финансовый 4 2 2 2 2 2 4 2" xfId="2994" xr:uid="{00000000-0005-0000-0000-00001D0A0000}"/>
    <cellStyle name="Финансовый 4 2 2 2 2 2 5" xfId="1916" xr:uid="{00000000-0005-0000-0000-00001E0A0000}"/>
    <cellStyle name="Финансовый 4 2 2 2 2 3" xfId="437" xr:uid="{00000000-0005-0000-0000-00001F0A0000}"/>
    <cellStyle name="Финансовый 4 2 2 2 2 3 2" xfId="980" xr:uid="{00000000-0005-0000-0000-0000200A0000}"/>
    <cellStyle name="Финансовый 4 2 2 2 2 3 2 2" xfId="2594" xr:uid="{00000000-0005-0000-0000-0000210A0000}"/>
    <cellStyle name="Финансовый 4 2 2 2 2 3 3" xfId="1516" xr:uid="{00000000-0005-0000-0000-0000220A0000}"/>
    <cellStyle name="Финансовый 4 2 2 2 2 3 3 2" xfId="3130" xr:uid="{00000000-0005-0000-0000-0000230A0000}"/>
    <cellStyle name="Финансовый 4 2 2 2 2 3 4" xfId="2052" xr:uid="{00000000-0005-0000-0000-0000240A0000}"/>
    <cellStyle name="Финансовый 4 2 2 2 2 4" xfId="712" xr:uid="{00000000-0005-0000-0000-0000250A0000}"/>
    <cellStyle name="Финансовый 4 2 2 2 2 4 2" xfId="2326" xr:uid="{00000000-0005-0000-0000-0000260A0000}"/>
    <cellStyle name="Финансовый 4 2 2 2 2 5" xfId="1248" xr:uid="{00000000-0005-0000-0000-0000270A0000}"/>
    <cellStyle name="Финансовый 4 2 2 2 2 5 2" xfId="2862" xr:uid="{00000000-0005-0000-0000-0000280A0000}"/>
    <cellStyle name="Финансовый 4 2 2 2 2 6" xfId="1784" xr:uid="{00000000-0005-0000-0000-0000290A0000}"/>
    <cellStyle name="Финансовый 4 2 2 2 3" xfId="114" xr:uid="{00000000-0005-0000-0000-00002A0A0000}"/>
    <cellStyle name="Финансовый 4 2 2 2 3 2" xfId="256" xr:uid="{00000000-0005-0000-0000-00002B0A0000}"/>
    <cellStyle name="Финансовый 4 2 2 2 3 2 2" xfId="525" xr:uid="{00000000-0005-0000-0000-00002C0A0000}"/>
    <cellStyle name="Финансовый 4 2 2 2 3 2 2 2" xfId="1068" xr:uid="{00000000-0005-0000-0000-00002D0A0000}"/>
    <cellStyle name="Финансовый 4 2 2 2 3 2 2 2 2" xfId="2682" xr:uid="{00000000-0005-0000-0000-00002E0A0000}"/>
    <cellStyle name="Финансовый 4 2 2 2 3 2 2 3" xfId="1604" xr:uid="{00000000-0005-0000-0000-00002F0A0000}"/>
    <cellStyle name="Финансовый 4 2 2 2 3 2 2 3 2" xfId="3218" xr:uid="{00000000-0005-0000-0000-0000300A0000}"/>
    <cellStyle name="Финансовый 4 2 2 2 3 2 2 4" xfId="2140" xr:uid="{00000000-0005-0000-0000-0000310A0000}"/>
    <cellStyle name="Финансовый 4 2 2 2 3 2 3" xfId="800" xr:uid="{00000000-0005-0000-0000-0000320A0000}"/>
    <cellStyle name="Финансовый 4 2 2 2 3 2 3 2" xfId="2414" xr:uid="{00000000-0005-0000-0000-0000330A0000}"/>
    <cellStyle name="Финансовый 4 2 2 2 3 2 4" xfId="1336" xr:uid="{00000000-0005-0000-0000-0000340A0000}"/>
    <cellStyle name="Финансовый 4 2 2 2 3 2 4 2" xfId="2950" xr:uid="{00000000-0005-0000-0000-0000350A0000}"/>
    <cellStyle name="Финансовый 4 2 2 2 3 2 5" xfId="1872" xr:uid="{00000000-0005-0000-0000-0000360A0000}"/>
    <cellStyle name="Финансовый 4 2 2 2 3 3" xfId="393" xr:uid="{00000000-0005-0000-0000-0000370A0000}"/>
    <cellStyle name="Финансовый 4 2 2 2 3 3 2" xfId="936" xr:uid="{00000000-0005-0000-0000-0000380A0000}"/>
    <cellStyle name="Финансовый 4 2 2 2 3 3 2 2" xfId="2550" xr:uid="{00000000-0005-0000-0000-0000390A0000}"/>
    <cellStyle name="Финансовый 4 2 2 2 3 3 3" xfId="1472" xr:uid="{00000000-0005-0000-0000-00003A0A0000}"/>
    <cellStyle name="Финансовый 4 2 2 2 3 3 3 2" xfId="3086" xr:uid="{00000000-0005-0000-0000-00003B0A0000}"/>
    <cellStyle name="Финансовый 4 2 2 2 3 3 4" xfId="2008" xr:uid="{00000000-0005-0000-0000-00003C0A0000}"/>
    <cellStyle name="Финансовый 4 2 2 2 3 4" xfId="667" xr:uid="{00000000-0005-0000-0000-00003D0A0000}"/>
    <cellStyle name="Финансовый 4 2 2 2 3 4 2" xfId="2281" xr:uid="{00000000-0005-0000-0000-00003E0A0000}"/>
    <cellStyle name="Финансовый 4 2 2 2 3 5" xfId="1204" xr:uid="{00000000-0005-0000-0000-00003F0A0000}"/>
    <cellStyle name="Финансовый 4 2 2 2 3 5 2" xfId="2818" xr:uid="{00000000-0005-0000-0000-0000400A0000}"/>
    <cellStyle name="Финансовый 4 2 2 2 3 6" xfId="1740" xr:uid="{00000000-0005-0000-0000-0000410A0000}"/>
    <cellStyle name="Финансовый 4 2 2 2 4" xfId="211" xr:uid="{00000000-0005-0000-0000-0000420A0000}"/>
    <cellStyle name="Финансовый 4 2 2 2 4 2" xfId="481" xr:uid="{00000000-0005-0000-0000-0000430A0000}"/>
    <cellStyle name="Финансовый 4 2 2 2 4 2 2" xfId="1024" xr:uid="{00000000-0005-0000-0000-0000440A0000}"/>
    <cellStyle name="Финансовый 4 2 2 2 4 2 2 2" xfId="2638" xr:uid="{00000000-0005-0000-0000-0000450A0000}"/>
    <cellStyle name="Финансовый 4 2 2 2 4 2 3" xfId="1560" xr:uid="{00000000-0005-0000-0000-0000460A0000}"/>
    <cellStyle name="Финансовый 4 2 2 2 4 2 3 2" xfId="3174" xr:uid="{00000000-0005-0000-0000-0000470A0000}"/>
    <cellStyle name="Финансовый 4 2 2 2 4 2 4" xfId="2096" xr:uid="{00000000-0005-0000-0000-0000480A0000}"/>
    <cellStyle name="Финансовый 4 2 2 2 4 3" xfId="756" xr:uid="{00000000-0005-0000-0000-0000490A0000}"/>
    <cellStyle name="Финансовый 4 2 2 2 4 3 2" xfId="2370" xr:uid="{00000000-0005-0000-0000-00004A0A0000}"/>
    <cellStyle name="Финансовый 4 2 2 2 4 4" xfId="1292" xr:uid="{00000000-0005-0000-0000-00004B0A0000}"/>
    <cellStyle name="Финансовый 4 2 2 2 4 4 2" xfId="2906" xr:uid="{00000000-0005-0000-0000-00004C0A0000}"/>
    <cellStyle name="Финансовый 4 2 2 2 4 5" xfId="1828" xr:uid="{00000000-0005-0000-0000-00004D0A0000}"/>
    <cellStyle name="Финансовый 4 2 2 2 5" xfId="349" xr:uid="{00000000-0005-0000-0000-00004E0A0000}"/>
    <cellStyle name="Финансовый 4 2 2 2 5 2" xfId="892" xr:uid="{00000000-0005-0000-0000-00004F0A0000}"/>
    <cellStyle name="Финансовый 4 2 2 2 5 2 2" xfId="2506" xr:uid="{00000000-0005-0000-0000-0000500A0000}"/>
    <cellStyle name="Финансовый 4 2 2 2 5 3" xfId="1428" xr:uid="{00000000-0005-0000-0000-0000510A0000}"/>
    <cellStyle name="Финансовый 4 2 2 2 5 3 2" xfId="3042" xr:uid="{00000000-0005-0000-0000-0000520A0000}"/>
    <cellStyle name="Финансовый 4 2 2 2 5 4" xfId="1964" xr:uid="{00000000-0005-0000-0000-0000530A0000}"/>
    <cellStyle name="Финансовый 4 2 2 2 6" xfId="622" xr:uid="{00000000-0005-0000-0000-0000540A0000}"/>
    <cellStyle name="Финансовый 4 2 2 2 6 2" xfId="2236" xr:uid="{00000000-0005-0000-0000-0000550A0000}"/>
    <cellStyle name="Финансовый 4 2 2 2 7" xfId="1160" xr:uid="{00000000-0005-0000-0000-0000560A0000}"/>
    <cellStyle name="Финансовый 4 2 2 2 7 2" xfId="2774" xr:uid="{00000000-0005-0000-0000-0000570A0000}"/>
    <cellStyle name="Финансовый 4 2 2 2 8" xfId="1696" xr:uid="{00000000-0005-0000-0000-0000580A0000}"/>
    <cellStyle name="Финансовый 4 2 2 3" xfId="144" xr:uid="{00000000-0005-0000-0000-0000590A0000}"/>
    <cellStyle name="Финансовый 4 2 2 3 2" xfId="283" xr:uid="{00000000-0005-0000-0000-00005A0A0000}"/>
    <cellStyle name="Финансовый 4 2 2 3 2 2" xfId="551" xr:uid="{00000000-0005-0000-0000-00005B0A0000}"/>
    <cellStyle name="Финансовый 4 2 2 3 2 2 2" xfId="1094" xr:uid="{00000000-0005-0000-0000-00005C0A0000}"/>
    <cellStyle name="Финансовый 4 2 2 3 2 2 2 2" xfId="2708" xr:uid="{00000000-0005-0000-0000-00005D0A0000}"/>
    <cellStyle name="Финансовый 4 2 2 3 2 2 3" xfId="1630" xr:uid="{00000000-0005-0000-0000-00005E0A0000}"/>
    <cellStyle name="Финансовый 4 2 2 3 2 2 3 2" xfId="3244" xr:uid="{00000000-0005-0000-0000-00005F0A0000}"/>
    <cellStyle name="Финансовый 4 2 2 3 2 2 4" xfId="2166" xr:uid="{00000000-0005-0000-0000-0000600A0000}"/>
    <cellStyle name="Финансовый 4 2 2 3 2 3" xfId="826" xr:uid="{00000000-0005-0000-0000-0000610A0000}"/>
    <cellStyle name="Финансовый 4 2 2 3 2 3 2" xfId="2440" xr:uid="{00000000-0005-0000-0000-0000620A0000}"/>
    <cellStyle name="Финансовый 4 2 2 3 2 4" xfId="1362" xr:uid="{00000000-0005-0000-0000-0000630A0000}"/>
    <cellStyle name="Финансовый 4 2 2 3 2 4 2" xfId="2976" xr:uid="{00000000-0005-0000-0000-0000640A0000}"/>
    <cellStyle name="Финансовый 4 2 2 3 2 5" xfId="1898" xr:uid="{00000000-0005-0000-0000-0000650A0000}"/>
    <cellStyle name="Финансовый 4 2 2 3 3" xfId="419" xr:uid="{00000000-0005-0000-0000-0000660A0000}"/>
    <cellStyle name="Финансовый 4 2 2 3 3 2" xfId="962" xr:uid="{00000000-0005-0000-0000-0000670A0000}"/>
    <cellStyle name="Финансовый 4 2 2 3 3 2 2" xfId="2576" xr:uid="{00000000-0005-0000-0000-0000680A0000}"/>
    <cellStyle name="Финансовый 4 2 2 3 3 3" xfId="1498" xr:uid="{00000000-0005-0000-0000-0000690A0000}"/>
    <cellStyle name="Финансовый 4 2 2 3 3 3 2" xfId="3112" xr:uid="{00000000-0005-0000-0000-00006A0A0000}"/>
    <cellStyle name="Финансовый 4 2 2 3 3 4" xfId="2034" xr:uid="{00000000-0005-0000-0000-00006B0A0000}"/>
    <cellStyle name="Финансовый 4 2 2 3 4" xfId="694" xr:uid="{00000000-0005-0000-0000-00006C0A0000}"/>
    <cellStyle name="Финансовый 4 2 2 3 4 2" xfId="2308" xr:uid="{00000000-0005-0000-0000-00006D0A0000}"/>
    <cellStyle name="Финансовый 4 2 2 3 5" xfId="1230" xr:uid="{00000000-0005-0000-0000-00006E0A0000}"/>
    <cellStyle name="Финансовый 4 2 2 3 5 2" xfId="2844" xr:uid="{00000000-0005-0000-0000-00006F0A0000}"/>
    <cellStyle name="Финансовый 4 2 2 3 6" xfId="1766" xr:uid="{00000000-0005-0000-0000-0000700A0000}"/>
    <cellStyle name="Финансовый 4 2 2 4" xfId="96" xr:uid="{00000000-0005-0000-0000-0000710A0000}"/>
    <cellStyle name="Финансовый 4 2 2 4 2" xfId="238" xr:uid="{00000000-0005-0000-0000-0000720A0000}"/>
    <cellStyle name="Финансовый 4 2 2 4 2 2" xfId="507" xr:uid="{00000000-0005-0000-0000-0000730A0000}"/>
    <cellStyle name="Финансовый 4 2 2 4 2 2 2" xfId="1050" xr:uid="{00000000-0005-0000-0000-0000740A0000}"/>
    <cellStyle name="Финансовый 4 2 2 4 2 2 2 2" xfId="2664" xr:uid="{00000000-0005-0000-0000-0000750A0000}"/>
    <cellStyle name="Финансовый 4 2 2 4 2 2 3" xfId="1586" xr:uid="{00000000-0005-0000-0000-0000760A0000}"/>
    <cellStyle name="Финансовый 4 2 2 4 2 2 3 2" xfId="3200" xr:uid="{00000000-0005-0000-0000-0000770A0000}"/>
    <cellStyle name="Финансовый 4 2 2 4 2 2 4" xfId="2122" xr:uid="{00000000-0005-0000-0000-0000780A0000}"/>
    <cellStyle name="Финансовый 4 2 2 4 2 3" xfId="782" xr:uid="{00000000-0005-0000-0000-0000790A0000}"/>
    <cellStyle name="Финансовый 4 2 2 4 2 3 2" xfId="2396" xr:uid="{00000000-0005-0000-0000-00007A0A0000}"/>
    <cellStyle name="Финансовый 4 2 2 4 2 4" xfId="1318" xr:uid="{00000000-0005-0000-0000-00007B0A0000}"/>
    <cellStyle name="Финансовый 4 2 2 4 2 4 2" xfId="2932" xr:uid="{00000000-0005-0000-0000-00007C0A0000}"/>
    <cellStyle name="Финансовый 4 2 2 4 2 5" xfId="1854" xr:uid="{00000000-0005-0000-0000-00007D0A0000}"/>
    <cellStyle name="Финансовый 4 2 2 4 3" xfId="375" xr:uid="{00000000-0005-0000-0000-00007E0A0000}"/>
    <cellStyle name="Финансовый 4 2 2 4 3 2" xfId="918" xr:uid="{00000000-0005-0000-0000-00007F0A0000}"/>
    <cellStyle name="Финансовый 4 2 2 4 3 2 2" xfId="2532" xr:uid="{00000000-0005-0000-0000-0000800A0000}"/>
    <cellStyle name="Финансовый 4 2 2 4 3 3" xfId="1454" xr:uid="{00000000-0005-0000-0000-0000810A0000}"/>
    <cellStyle name="Финансовый 4 2 2 4 3 3 2" xfId="3068" xr:uid="{00000000-0005-0000-0000-0000820A0000}"/>
    <cellStyle name="Финансовый 4 2 2 4 3 4" xfId="1990" xr:uid="{00000000-0005-0000-0000-0000830A0000}"/>
    <cellStyle name="Финансовый 4 2 2 4 4" xfId="649" xr:uid="{00000000-0005-0000-0000-0000840A0000}"/>
    <cellStyle name="Финансовый 4 2 2 4 4 2" xfId="2263" xr:uid="{00000000-0005-0000-0000-0000850A0000}"/>
    <cellStyle name="Финансовый 4 2 2 4 5" xfId="1186" xr:uid="{00000000-0005-0000-0000-0000860A0000}"/>
    <cellStyle name="Финансовый 4 2 2 4 5 2" xfId="2800" xr:uid="{00000000-0005-0000-0000-0000870A0000}"/>
    <cellStyle name="Финансовый 4 2 2 4 6" xfId="1722" xr:uid="{00000000-0005-0000-0000-0000880A0000}"/>
    <cellStyle name="Финансовый 4 2 2 5" xfId="193" xr:uid="{00000000-0005-0000-0000-0000890A0000}"/>
    <cellStyle name="Финансовый 4 2 2 5 2" xfId="463" xr:uid="{00000000-0005-0000-0000-00008A0A0000}"/>
    <cellStyle name="Финансовый 4 2 2 5 2 2" xfId="1006" xr:uid="{00000000-0005-0000-0000-00008B0A0000}"/>
    <cellStyle name="Финансовый 4 2 2 5 2 2 2" xfId="2620" xr:uid="{00000000-0005-0000-0000-00008C0A0000}"/>
    <cellStyle name="Финансовый 4 2 2 5 2 3" xfId="1542" xr:uid="{00000000-0005-0000-0000-00008D0A0000}"/>
    <cellStyle name="Финансовый 4 2 2 5 2 3 2" xfId="3156" xr:uid="{00000000-0005-0000-0000-00008E0A0000}"/>
    <cellStyle name="Финансовый 4 2 2 5 2 4" xfId="2078" xr:uid="{00000000-0005-0000-0000-00008F0A0000}"/>
    <cellStyle name="Финансовый 4 2 2 5 3" xfId="738" xr:uid="{00000000-0005-0000-0000-0000900A0000}"/>
    <cellStyle name="Финансовый 4 2 2 5 3 2" xfId="2352" xr:uid="{00000000-0005-0000-0000-0000910A0000}"/>
    <cellStyle name="Финансовый 4 2 2 5 4" xfId="1274" xr:uid="{00000000-0005-0000-0000-0000920A0000}"/>
    <cellStyle name="Финансовый 4 2 2 5 4 2" xfId="2888" xr:uid="{00000000-0005-0000-0000-0000930A0000}"/>
    <cellStyle name="Финансовый 4 2 2 5 5" xfId="1810" xr:uid="{00000000-0005-0000-0000-0000940A0000}"/>
    <cellStyle name="Финансовый 4 2 2 6" xfId="331" xr:uid="{00000000-0005-0000-0000-0000950A0000}"/>
    <cellStyle name="Финансовый 4 2 2 6 2" xfId="874" xr:uid="{00000000-0005-0000-0000-0000960A0000}"/>
    <cellStyle name="Финансовый 4 2 2 6 2 2" xfId="2488" xr:uid="{00000000-0005-0000-0000-0000970A0000}"/>
    <cellStyle name="Финансовый 4 2 2 6 3" xfId="1410" xr:uid="{00000000-0005-0000-0000-0000980A0000}"/>
    <cellStyle name="Финансовый 4 2 2 6 3 2" xfId="3024" xr:uid="{00000000-0005-0000-0000-0000990A0000}"/>
    <cellStyle name="Финансовый 4 2 2 6 4" xfId="1946" xr:uid="{00000000-0005-0000-0000-00009A0A0000}"/>
    <cellStyle name="Финансовый 4 2 2 7" xfId="604" xr:uid="{00000000-0005-0000-0000-00009B0A0000}"/>
    <cellStyle name="Финансовый 4 2 2 7 2" xfId="2218" xr:uid="{00000000-0005-0000-0000-00009C0A0000}"/>
    <cellStyle name="Финансовый 4 2 2 8" xfId="1142" xr:uid="{00000000-0005-0000-0000-00009D0A0000}"/>
    <cellStyle name="Финансовый 4 2 2 8 2" xfId="2756" xr:uid="{00000000-0005-0000-0000-00009E0A0000}"/>
    <cellStyle name="Финансовый 4 2 2 9" xfId="1678" xr:uid="{00000000-0005-0000-0000-00009F0A0000}"/>
    <cellStyle name="Финансовый 4 2 3" xfId="40" xr:uid="{00000000-0005-0000-0000-0000A00A0000}"/>
    <cellStyle name="Финансовый 4 2 3 2" xfId="135" xr:uid="{00000000-0005-0000-0000-0000A10A0000}"/>
    <cellStyle name="Финансовый 4 2 3 2 2" xfId="274" xr:uid="{00000000-0005-0000-0000-0000A20A0000}"/>
    <cellStyle name="Финансовый 4 2 3 2 2 2" xfId="542" xr:uid="{00000000-0005-0000-0000-0000A30A0000}"/>
    <cellStyle name="Финансовый 4 2 3 2 2 2 2" xfId="1085" xr:uid="{00000000-0005-0000-0000-0000A40A0000}"/>
    <cellStyle name="Финансовый 4 2 3 2 2 2 2 2" xfId="2699" xr:uid="{00000000-0005-0000-0000-0000A50A0000}"/>
    <cellStyle name="Финансовый 4 2 3 2 2 2 3" xfId="1621" xr:uid="{00000000-0005-0000-0000-0000A60A0000}"/>
    <cellStyle name="Финансовый 4 2 3 2 2 2 3 2" xfId="3235" xr:uid="{00000000-0005-0000-0000-0000A70A0000}"/>
    <cellStyle name="Финансовый 4 2 3 2 2 2 4" xfId="2157" xr:uid="{00000000-0005-0000-0000-0000A80A0000}"/>
    <cellStyle name="Финансовый 4 2 3 2 2 3" xfId="817" xr:uid="{00000000-0005-0000-0000-0000A90A0000}"/>
    <cellStyle name="Финансовый 4 2 3 2 2 3 2" xfId="2431" xr:uid="{00000000-0005-0000-0000-0000AA0A0000}"/>
    <cellStyle name="Финансовый 4 2 3 2 2 4" xfId="1353" xr:uid="{00000000-0005-0000-0000-0000AB0A0000}"/>
    <cellStyle name="Финансовый 4 2 3 2 2 4 2" xfId="2967" xr:uid="{00000000-0005-0000-0000-0000AC0A0000}"/>
    <cellStyle name="Финансовый 4 2 3 2 2 5" xfId="1889" xr:uid="{00000000-0005-0000-0000-0000AD0A0000}"/>
    <cellStyle name="Финансовый 4 2 3 2 3" xfId="410" xr:uid="{00000000-0005-0000-0000-0000AE0A0000}"/>
    <cellStyle name="Финансовый 4 2 3 2 3 2" xfId="953" xr:uid="{00000000-0005-0000-0000-0000AF0A0000}"/>
    <cellStyle name="Финансовый 4 2 3 2 3 2 2" xfId="2567" xr:uid="{00000000-0005-0000-0000-0000B00A0000}"/>
    <cellStyle name="Финансовый 4 2 3 2 3 3" xfId="1489" xr:uid="{00000000-0005-0000-0000-0000B10A0000}"/>
    <cellStyle name="Финансовый 4 2 3 2 3 3 2" xfId="3103" xr:uid="{00000000-0005-0000-0000-0000B20A0000}"/>
    <cellStyle name="Финансовый 4 2 3 2 3 4" xfId="2025" xr:uid="{00000000-0005-0000-0000-0000B30A0000}"/>
    <cellStyle name="Финансовый 4 2 3 2 4" xfId="685" xr:uid="{00000000-0005-0000-0000-0000B40A0000}"/>
    <cellStyle name="Финансовый 4 2 3 2 4 2" xfId="2299" xr:uid="{00000000-0005-0000-0000-0000B50A0000}"/>
    <cellStyle name="Финансовый 4 2 3 2 5" xfId="1221" xr:uid="{00000000-0005-0000-0000-0000B60A0000}"/>
    <cellStyle name="Финансовый 4 2 3 2 5 2" xfId="2835" xr:uid="{00000000-0005-0000-0000-0000B70A0000}"/>
    <cellStyle name="Финансовый 4 2 3 2 6" xfId="1757" xr:uid="{00000000-0005-0000-0000-0000B80A0000}"/>
    <cellStyle name="Финансовый 4 2 3 3" xfId="87" xr:uid="{00000000-0005-0000-0000-0000B90A0000}"/>
    <cellStyle name="Финансовый 4 2 3 3 2" xfId="229" xr:uid="{00000000-0005-0000-0000-0000BA0A0000}"/>
    <cellStyle name="Финансовый 4 2 3 3 2 2" xfId="498" xr:uid="{00000000-0005-0000-0000-0000BB0A0000}"/>
    <cellStyle name="Финансовый 4 2 3 3 2 2 2" xfId="1041" xr:uid="{00000000-0005-0000-0000-0000BC0A0000}"/>
    <cellStyle name="Финансовый 4 2 3 3 2 2 2 2" xfId="2655" xr:uid="{00000000-0005-0000-0000-0000BD0A0000}"/>
    <cellStyle name="Финансовый 4 2 3 3 2 2 3" xfId="1577" xr:uid="{00000000-0005-0000-0000-0000BE0A0000}"/>
    <cellStyle name="Финансовый 4 2 3 3 2 2 3 2" xfId="3191" xr:uid="{00000000-0005-0000-0000-0000BF0A0000}"/>
    <cellStyle name="Финансовый 4 2 3 3 2 2 4" xfId="2113" xr:uid="{00000000-0005-0000-0000-0000C00A0000}"/>
    <cellStyle name="Финансовый 4 2 3 3 2 3" xfId="773" xr:uid="{00000000-0005-0000-0000-0000C10A0000}"/>
    <cellStyle name="Финансовый 4 2 3 3 2 3 2" xfId="2387" xr:uid="{00000000-0005-0000-0000-0000C20A0000}"/>
    <cellStyle name="Финансовый 4 2 3 3 2 4" xfId="1309" xr:uid="{00000000-0005-0000-0000-0000C30A0000}"/>
    <cellStyle name="Финансовый 4 2 3 3 2 4 2" xfId="2923" xr:uid="{00000000-0005-0000-0000-0000C40A0000}"/>
    <cellStyle name="Финансовый 4 2 3 3 2 5" xfId="1845" xr:uid="{00000000-0005-0000-0000-0000C50A0000}"/>
    <cellStyle name="Финансовый 4 2 3 3 3" xfId="366" xr:uid="{00000000-0005-0000-0000-0000C60A0000}"/>
    <cellStyle name="Финансовый 4 2 3 3 3 2" xfId="909" xr:uid="{00000000-0005-0000-0000-0000C70A0000}"/>
    <cellStyle name="Финансовый 4 2 3 3 3 2 2" xfId="2523" xr:uid="{00000000-0005-0000-0000-0000C80A0000}"/>
    <cellStyle name="Финансовый 4 2 3 3 3 3" xfId="1445" xr:uid="{00000000-0005-0000-0000-0000C90A0000}"/>
    <cellStyle name="Финансовый 4 2 3 3 3 3 2" xfId="3059" xr:uid="{00000000-0005-0000-0000-0000CA0A0000}"/>
    <cellStyle name="Финансовый 4 2 3 3 3 4" xfId="1981" xr:uid="{00000000-0005-0000-0000-0000CB0A0000}"/>
    <cellStyle name="Финансовый 4 2 3 3 4" xfId="640" xr:uid="{00000000-0005-0000-0000-0000CC0A0000}"/>
    <cellStyle name="Финансовый 4 2 3 3 4 2" xfId="2254" xr:uid="{00000000-0005-0000-0000-0000CD0A0000}"/>
    <cellStyle name="Финансовый 4 2 3 3 5" xfId="1177" xr:uid="{00000000-0005-0000-0000-0000CE0A0000}"/>
    <cellStyle name="Финансовый 4 2 3 3 5 2" xfId="2791" xr:uid="{00000000-0005-0000-0000-0000CF0A0000}"/>
    <cellStyle name="Финансовый 4 2 3 3 6" xfId="1713" xr:uid="{00000000-0005-0000-0000-0000D00A0000}"/>
    <cellStyle name="Финансовый 4 2 3 4" xfId="184" xr:uid="{00000000-0005-0000-0000-0000D10A0000}"/>
    <cellStyle name="Финансовый 4 2 3 4 2" xfId="454" xr:uid="{00000000-0005-0000-0000-0000D20A0000}"/>
    <cellStyle name="Финансовый 4 2 3 4 2 2" xfId="997" xr:uid="{00000000-0005-0000-0000-0000D30A0000}"/>
    <cellStyle name="Финансовый 4 2 3 4 2 2 2" xfId="2611" xr:uid="{00000000-0005-0000-0000-0000D40A0000}"/>
    <cellStyle name="Финансовый 4 2 3 4 2 3" xfId="1533" xr:uid="{00000000-0005-0000-0000-0000D50A0000}"/>
    <cellStyle name="Финансовый 4 2 3 4 2 3 2" xfId="3147" xr:uid="{00000000-0005-0000-0000-0000D60A0000}"/>
    <cellStyle name="Финансовый 4 2 3 4 2 4" xfId="2069" xr:uid="{00000000-0005-0000-0000-0000D70A0000}"/>
    <cellStyle name="Финансовый 4 2 3 4 3" xfId="729" xr:uid="{00000000-0005-0000-0000-0000D80A0000}"/>
    <cellStyle name="Финансовый 4 2 3 4 3 2" xfId="2343" xr:uid="{00000000-0005-0000-0000-0000D90A0000}"/>
    <cellStyle name="Финансовый 4 2 3 4 4" xfId="1265" xr:uid="{00000000-0005-0000-0000-0000DA0A0000}"/>
    <cellStyle name="Финансовый 4 2 3 4 4 2" xfId="2879" xr:uid="{00000000-0005-0000-0000-0000DB0A0000}"/>
    <cellStyle name="Финансовый 4 2 3 4 5" xfId="1801" xr:uid="{00000000-0005-0000-0000-0000DC0A0000}"/>
    <cellStyle name="Финансовый 4 2 3 5" xfId="322" xr:uid="{00000000-0005-0000-0000-0000DD0A0000}"/>
    <cellStyle name="Финансовый 4 2 3 5 2" xfId="865" xr:uid="{00000000-0005-0000-0000-0000DE0A0000}"/>
    <cellStyle name="Финансовый 4 2 3 5 2 2" xfId="2479" xr:uid="{00000000-0005-0000-0000-0000DF0A0000}"/>
    <cellStyle name="Финансовый 4 2 3 5 3" xfId="1401" xr:uid="{00000000-0005-0000-0000-0000E00A0000}"/>
    <cellStyle name="Финансовый 4 2 3 5 3 2" xfId="3015" xr:uid="{00000000-0005-0000-0000-0000E10A0000}"/>
    <cellStyle name="Финансовый 4 2 3 5 4" xfId="1937" xr:uid="{00000000-0005-0000-0000-0000E20A0000}"/>
    <cellStyle name="Финансовый 4 2 3 6" xfId="595" xr:uid="{00000000-0005-0000-0000-0000E30A0000}"/>
    <cellStyle name="Финансовый 4 2 3 6 2" xfId="2209" xr:uid="{00000000-0005-0000-0000-0000E40A0000}"/>
    <cellStyle name="Финансовый 4 2 3 7" xfId="1133" xr:uid="{00000000-0005-0000-0000-0000E50A0000}"/>
    <cellStyle name="Финансовый 4 2 3 7 2" xfId="2747" xr:uid="{00000000-0005-0000-0000-0000E60A0000}"/>
    <cellStyle name="Финансовый 4 2 3 8" xfId="1669" xr:uid="{00000000-0005-0000-0000-0000E70A0000}"/>
    <cellStyle name="Финансовый 4 2 4" xfId="57" xr:uid="{00000000-0005-0000-0000-0000E80A0000}"/>
    <cellStyle name="Финансовый 4 2 4 2" xfId="152" xr:uid="{00000000-0005-0000-0000-0000E90A0000}"/>
    <cellStyle name="Финансовый 4 2 4 2 2" xfId="291" xr:uid="{00000000-0005-0000-0000-0000EA0A0000}"/>
    <cellStyle name="Финансовый 4 2 4 2 2 2" xfId="559" xr:uid="{00000000-0005-0000-0000-0000EB0A0000}"/>
    <cellStyle name="Финансовый 4 2 4 2 2 2 2" xfId="1102" xr:uid="{00000000-0005-0000-0000-0000EC0A0000}"/>
    <cellStyle name="Финансовый 4 2 4 2 2 2 2 2" xfId="2716" xr:uid="{00000000-0005-0000-0000-0000ED0A0000}"/>
    <cellStyle name="Финансовый 4 2 4 2 2 2 3" xfId="1638" xr:uid="{00000000-0005-0000-0000-0000EE0A0000}"/>
    <cellStyle name="Финансовый 4 2 4 2 2 2 3 2" xfId="3252" xr:uid="{00000000-0005-0000-0000-0000EF0A0000}"/>
    <cellStyle name="Финансовый 4 2 4 2 2 2 4" xfId="2174" xr:uid="{00000000-0005-0000-0000-0000F00A0000}"/>
    <cellStyle name="Финансовый 4 2 4 2 2 3" xfId="834" xr:uid="{00000000-0005-0000-0000-0000F10A0000}"/>
    <cellStyle name="Финансовый 4 2 4 2 2 3 2" xfId="2448" xr:uid="{00000000-0005-0000-0000-0000F20A0000}"/>
    <cellStyle name="Финансовый 4 2 4 2 2 4" xfId="1370" xr:uid="{00000000-0005-0000-0000-0000F30A0000}"/>
    <cellStyle name="Финансовый 4 2 4 2 2 4 2" xfId="2984" xr:uid="{00000000-0005-0000-0000-0000F40A0000}"/>
    <cellStyle name="Финансовый 4 2 4 2 2 5" xfId="1906" xr:uid="{00000000-0005-0000-0000-0000F50A0000}"/>
    <cellStyle name="Финансовый 4 2 4 2 3" xfId="427" xr:uid="{00000000-0005-0000-0000-0000F60A0000}"/>
    <cellStyle name="Финансовый 4 2 4 2 3 2" xfId="970" xr:uid="{00000000-0005-0000-0000-0000F70A0000}"/>
    <cellStyle name="Финансовый 4 2 4 2 3 2 2" xfId="2584" xr:uid="{00000000-0005-0000-0000-0000F80A0000}"/>
    <cellStyle name="Финансовый 4 2 4 2 3 3" xfId="1506" xr:uid="{00000000-0005-0000-0000-0000F90A0000}"/>
    <cellStyle name="Финансовый 4 2 4 2 3 3 2" xfId="3120" xr:uid="{00000000-0005-0000-0000-0000FA0A0000}"/>
    <cellStyle name="Финансовый 4 2 4 2 3 4" xfId="2042" xr:uid="{00000000-0005-0000-0000-0000FB0A0000}"/>
    <cellStyle name="Финансовый 4 2 4 2 4" xfId="702" xr:uid="{00000000-0005-0000-0000-0000FC0A0000}"/>
    <cellStyle name="Финансовый 4 2 4 2 4 2" xfId="2316" xr:uid="{00000000-0005-0000-0000-0000FD0A0000}"/>
    <cellStyle name="Финансовый 4 2 4 2 5" xfId="1238" xr:uid="{00000000-0005-0000-0000-0000FE0A0000}"/>
    <cellStyle name="Финансовый 4 2 4 2 5 2" xfId="2852" xr:uid="{00000000-0005-0000-0000-0000FF0A0000}"/>
    <cellStyle name="Финансовый 4 2 4 2 6" xfId="1774" xr:uid="{00000000-0005-0000-0000-0000000B0000}"/>
    <cellStyle name="Финансовый 4 2 4 3" xfId="104" xr:uid="{00000000-0005-0000-0000-0000010B0000}"/>
    <cellStyle name="Финансовый 4 2 4 3 2" xfId="246" xr:uid="{00000000-0005-0000-0000-0000020B0000}"/>
    <cellStyle name="Финансовый 4 2 4 3 2 2" xfId="515" xr:uid="{00000000-0005-0000-0000-0000030B0000}"/>
    <cellStyle name="Финансовый 4 2 4 3 2 2 2" xfId="1058" xr:uid="{00000000-0005-0000-0000-0000040B0000}"/>
    <cellStyle name="Финансовый 4 2 4 3 2 2 2 2" xfId="2672" xr:uid="{00000000-0005-0000-0000-0000050B0000}"/>
    <cellStyle name="Финансовый 4 2 4 3 2 2 3" xfId="1594" xr:uid="{00000000-0005-0000-0000-0000060B0000}"/>
    <cellStyle name="Финансовый 4 2 4 3 2 2 3 2" xfId="3208" xr:uid="{00000000-0005-0000-0000-0000070B0000}"/>
    <cellStyle name="Финансовый 4 2 4 3 2 2 4" xfId="2130" xr:uid="{00000000-0005-0000-0000-0000080B0000}"/>
    <cellStyle name="Финансовый 4 2 4 3 2 3" xfId="790" xr:uid="{00000000-0005-0000-0000-0000090B0000}"/>
    <cellStyle name="Финансовый 4 2 4 3 2 3 2" xfId="2404" xr:uid="{00000000-0005-0000-0000-00000A0B0000}"/>
    <cellStyle name="Финансовый 4 2 4 3 2 4" xfId="1326" xr:uid="{00000000-0005-0000-0000-00000B0B0000}"/>
    <cellStyle name="Финансовый 4 2 4 3 2 4 2" xfId="2940" xr:uid="{00000000-0005-0000-0000-00000C0B0000}"/>
    <cellStyle name="Финансовый 4 2 4 3 2 5" xfId="1862" xr:uid="{00000000-0005-0000-0000-00000D0B0000}"/>
    <cellStyle name="Финансовый 4 2 4 3 3" xfId="383" xr:uid="{00000000-0005-0000-0000-00000E0B0000}"/>
    <cellStyle name="Финансовый 4 2 4 3 3 2" xfId="926" xr:uid="{00000000-0005-0000-0000-00000F0B0000}"/>
    <cellStyle name="Финансовый 4 2 4 3 3 2 2" xfId="2540" xr:uid="{00000000-0005-0000-0000-0000100B0000}"/>
    <cellStyle name="Финансовый 4 2 4 3 3 3" xfId="1462" xr:uid="{00000000-0005-0000-0000-0000110B0000}"/>
    <cellStyle name="Финансовый 4 2 4 3 3 3 2" xfId="3076" xr:uid="{00000000-0005-0000-0000-0000120B0000}"/>
    <cellStyle name="Финансовый 4 2 4 3 3 4" xfId="1998" xr:uid="{00000000-0005-0000-0000-0000130B0000}"/>
    <cellStyle name="Финансовый 4 2 4 3 4" xfId="657" xr:uid="{00000000-0005-0000-0000-0000140B0000}"/>
    <cellStyle name="Финансовый 4 2 4 3 4 2" xfId="2271" xr:uid="{00000000-0005-0000-0000-0000150B0000}"/>
    <cellStyle name="Финансовый 4 2 4 3 5" xfId="1194" xr:uid="{00000000-0005-0000-0000-0000160B0000}"/>
    <cellStyle name="Финансовый 4 2 4 3 5 2" xfId="2808" xr:uid="{00000000-0005-0000-0000-0000170B0000}"/>
    <cellStyle name="Финансовый 4 2 4 3 6" xfId="1730" xr:uid="{00000000-0005-0000-0000-0000180B0000}"/>
    <cellStyle name="Финансовый 4 2 4 4" xfId="201" xr:uid="{00000000-0005-0000-0000-0000190B0000}"/>
    <cellStyle name="Финансовый 4 2 4 4 2" xfId="471" xr:uid="{00000000-0005-0000-0000-00001A0B0000}"/>
    <cellStyle name="Финансовый 4 2 4 4 2 2" xfId="1014" xr:uid="{00000000-0005-0000-0000-00001B0B0000}"/>
    <cellStyle name="Финансовый 4 2 4 4 2 2 2" xfId="2628" xr:uid="{00000000-0005-0000-0000-00001C0B0000}"/>
    <cellStyle name="Финансовый 4 2 4 4 2 3" xfId="1550" xr:uid="{00000000-0005-0000-0000-00001D0B0000}"/>
    <cellStyle name="Финансовый 4 2 4 4 2 3 2" xfId="3164" xr:uid="{00000000-0005-0000-0000-00001E0B0000}"/>
    <cellStyle name="Финансовый 4 2 4 4 2 4" xfId="2086" xr:uid="{00000000-0005-0000-0000-00001F0B0000}"/>
    <cellStyle name="Финансовый 4 2 4 4 3" xfId="746" xr:uid="{00000000-0005-0000-0000-0000200B0000}"/>
    <cellStyle name="Финансовый 4 2 4 4 3 2" xfId="2360" xr:uid="{00000000-0005-0000-0000-0000210B0000}"/>
    <cellStyle name="Финансовый 4 2 4 4 4" xfId="1282" xr:uid="{00000000-0005-0000-0000-0000220B0000}"/>
    <cellStyle name="Финансовый 4 2 4 4 4 2" xfId="2896" xr:uid="{00000000-0005-0000-0000-0000230B0000}"/>
    <cellStyle name="Финансовый 4 2 4 4 5" xfId="1818" xr:uid="{00000000-0005-0000-0000-0000240B0000}"/>
    <cellStyle name="Финансовый 4 2 4 5" xfId="339" xr:uid="{00000000-0005-0000-0000-0000250B0000}"/>
    <cellStyle name="Финансовый 4 2 4 5 2" xfId="882" xr:uid="{00000000-0005-0000-0000-0000260B0000}"/>
    <cellStyle name="Финансовый 4 2 4 5 2 2" xfId="2496" xr:uid="{00000000-0005-0000-0000-0000270B0000}"/>
    <cellStyle name="Финансовый 4 2 4 5 3" xfId="1418" xr:uid="{00000000-0005-0000-0000-0000280B0000}"/>
    <cellStyle name="Финансовый 4 2 4 5 3 2" xfId="3032" xr:uid="{00000000-0005-0000-0000-0000290B0000}"/>
    <cellStyle name="Финансовый 4 2 4 5 4" xfId="1954" xr:uid="{00000000-0005-0000-0000-00002A0B0000}"/>
    <cellStyle name="Финансовый 4 2 4 6" xfId="612" xr:uid="{00000000-0005-0000-0000-00002B0B0000}"/>
    <cellStyle name="Финансовый 4 2 4 6 2" xfId="2226" xr:uid="{00000000-0005-0000-0000-00002C0B0000}"/>
    <cellStyle name="Финансовый 4 2 4 7" xfId="1150" xr:uid="{00000000-0005-0000-0000-00002D0B0000}"/>
    <cellStyle name="Финансовый 4 2 4 7 2" xfId="2764" xr:uid="{00000000-0005-0000-0000-00002E0B0000}"/>
    <cellStyle name="Финансовый 4 2 4 8" xfId="1686" xr:uid="{00000000-0005-0000-0000-00002F0B0000}"/>
    <cellStyle name="Финансовый 4 2 5" xfId="124" xr:uid="{00000000-0005-0000-0000-0000300B0000}"/>
    <cellStyle name="Финансовый 4 2 5 2" xfId="265" xr:uid="{00000000-0005-0000-0000-0000310B0000}"/>
    <cellStyle name="Финансовый 4 2 5 2 2" xfId="534" xr:uid="{00000000-0005-0000-0000-0000320B0000}"/>
    <cellStyle name="Финансовый 4 2 5 2 2 2" xfId="1077" xr:uid="{00000000-0005-0000-0000-0000330B0000}"/>
    <cellStyle name="Финансовый 4 2 5 2 2 2 2" xfId="2691" xr:uid="{00000000-0005-0000-0000-0000340B0000}"/>
    <cellStyle name="Финансовый 4 2 5 2 2 3" xfId="1613" xr:uid="{00000000-0005-0000-0000-0000350B0000}"/>
    <cellStyle name="Финансовый 4 2 5 2 2 3 2" xfId="3227" xr:uid="{00000000-0005-0000-0000-0000360B0000}"/>
    <cellStyle name="Финансовый 4 2 5 2 2 4" xfId="2149" xr:uid="{00000000-0005-0000-0000-0000370B0000}"/>
    <cellStyle name="Финансовый 4 2 5 2 3" xfId="809" xr:uid="{00000000-0005-0000-0000-0000380B0000}"/>
    <cellStyle name="Финансовый 4 2 5 2 3 2" xfId="2423" xr:uid="{00000000-0005-0000-0000-0000390B0000}"/>
    <cellStyle name="Финансовый 4 2 5 2 4" xfId="1345" xr:uid="{00000000-0005-0000-0000-00003A0B0000}"/>
    <cellStyle name="Финансовый 4 2 5 2 4 2" xfId="2959" xr:uid="{00000000-0005-0000-0000-00003B0B0000}"/>
    <cellStyle name="Финансовый 4 2 5 2 5" xfId="1881" xr:uid="{00000000-0005-0000-0000-00003C0B0000}"/>
    <cellStyle name="Финансовый 4 2 5 3" xfId="402" xr:uid="{00000000-0005-0000-0000-00003D0B0000}"/>
    <cellStyle name="Финансовый 4 2 5 3 2" xfId="945" xr:uid="{00000000-0005-0000-0000-00003E0B0000}"/>
    <cellStyle name="Финансовый 4 2 5 3 2 2" xfId="2559" xr:uid="{00000000-0005-0000-0000-00003F0B0000}"/>
    <cellStyle name="Финансовый 4 2 5 3 3" xfId="1481" xr:uid="{00000000-0005-0000-0000-0000400B0000}"/>
    <cellStyle name="Финансовый 4 2 5 3 3 2" xfId="3095" xr:uid="{00000000-0005-0000-0000-0000410B0000}"/>
    <cellStyle name="Финансовый 4 2 5 3 4" xfId="2017" xr:uid="{00000000-0005-0000-0000-0000420B0000}"/>
    <cellStyle name="Финансовый 4 2 5 4" xfId="676" xr:uid="{00000000-0005-0000-0000-0000430B0000}"/>
    <cellStyle name="Финансовый 4 2 5 4 2" xfId="2290" xr:uid="{00000000-0005-0000-0000-0000440B0000}"/>
    <cellStyle name="Финансовый 4 2 5 5" xfId="1213" xr:uid="{00000000-0005-0000-0000-0000450B0000}"/>
    <cellStyle name="Финансовый 4 2 5 5 2" xfId="2827" xr:uid="{00000000-0005-0000-0000-0000460B0000}"/>
    <cellStyle name="Финансовый 4 2 5 6" xfId="1749" xr:uid="{00000000-0005-0000-0000-0000470B0000}"/>
    <cellStyle name="Финансовый 4 2 6" xfId="76" xr:uid="{00000000-0005-0000-0000-0000480B0000}"/>
    <cellStyle name="Финансовый 4 2 6 2" xfId="220" xr:uid="{00000000-0005-0000-0000-0000490B0000}"/>
    <cellStyle name="Финансовый 4 2 6 2 2" xfId="490" xr:uid="{00000000-0005-0000-0000-00004A0B0000}"/>
    <cellStyle name="Финансовый 4 2 6 2 2 2" xfId="1033" xr:uid="{00000000-0005-0000-0000-00004B0B0000}"/>
    <cellStyle name="Финансовый 4 2 6 2 2 2 2" xfId="2647" xr:uid="{00000000-0005-0000-0000-00004C0B0000}"/>
    <cellStyle name="Финансовый 4 2 6 2 2 3" xfId="1569" xr:uid="{00000000-0005-0000-0000-00004D0B0000}"/>
    <cellStyle name="Финансовый 4 2 6 2 2 3 2" xfId="3183" xr:uid="{00000000-0005-0000-0000-00004E0B0000}"/>
    <cellStyle name="Финансовый 4 2 6 2 2 4" xfId="2105" xr:uid="{00000000-0005-0000-0000-00004F0B0000}"/>
    <cellStyle name="Финансовый 4 2 6 2 3" xfId="765" xr:uid="{00000000-0005-0000-0000-0000500B0000}"/>
    <cellStyle name="Финансовый 4 2 6 2 3 2" xfId="2379" xr:uid="{00000000-0005-0000-0000-0000510B0000}"/>
    <cellStyle name="Финансовый 4 2 6 2 4" xfId="1301" xr:uid="{00000000-0005-0000-0000-0000520B0000}"/>
    <cellStyle name="Финансовый 4 2 6 2 4 2" xfId="2915" xr:uid="{00000000-0005-0000-0000-0000530B0000}"/>
    <cellStyle name="Финансовый 4 2 6 2 5" xfId="1837" xr:uid="{00000000-0005-0000-0000-0000540B0000}"/>
    <cellStyle name="Финансовый 4 2 6 3" xfId="358" xr:uid="{00000000-0005-0000-0000-0000550B0000}"/>
    <cellStyle name="Финансовый 4 2 6 3 2" xfId="901" xr:uid="{00000000-0005-0000-0000-0000560B0000}"/>
    <cellStyle name="Финансовый 4 2 6 3 2 2" xfId="2515" xr:uid="{00000000-0005-0000-0000-0000570B0000}"/>
    <cellStyle name="Финансовый 4 2 6 3 3" xfId="1437" xr:uid="{00000000-0005-0000-0000-0000580B0000}"/>
    <cellStyle name="Финансовый 4 2 6 3 3 2" xfId="3051" xr:uid="{00000000-0005-0000-0000-0000590B0000}"/>
    <cellStyle name="Финансовый 4 2 6 3 4" xfId="1973" xr:uid="{00000000-0005-0000-0000-00005A0B0000}"/>
    <cellStyle name="Финансовый 4 2 6 4" xfId="631" xr:uid="{00000000-0005-0000-0000-00005B0B0000}"/>
    <cellStyle name="Финансовый 4 2 6 4 2" xfId="2245" xr:uid="{00000000-0005-0000-0000-00005C0B0000}"/>
    <cellStyle name="Финансовый 4 2 6 5" xfId="1169" xr:uid="{00000000-0005-0000-0000-00005D0B0000}"/>
    <cellStyle name="Финансовый 4 2 6 5 2" xfId="2783" xr:uid="{00000000-0005-0000-0000-00005E0B0000}"/>
    <cellStyle name="Финансовый 4 2 6 6" xfId="1705" xr:uid="{00000000-0005-0000-0000-00005F0B0000}"/>
    <cellStyle name="Финансовый 4 2 7" xfId="174" xr:uid="{00000000-0005-0000-0000-0000600B0000}"/>
    <cellStyle name="Финансовый 4 2 7 2" xfId="446" xr:uid="{00000000-0005-0000-0000-0000610B0000}"/>
    <cellStyle name="Финансовый 4 2 7 2 2" xfId="989" xr:uid="{00000000-0005-0000-0000-0000620B0000}"/>
    <cellStyle name="Финансовый 4 2 7 2 2 2" xfId="2603" xr:uid="{00000000-0005-0000-0000-0000630B0000}"/>
    <cellStyle name="Финансовый 4 2 7 2 3" xfId="1525" xr:uid="{00000000-0005-0000-0000-0000640B0000}"/>
    <cellStyle name="Финансовый 4 2 7 2 3 2" xfId="3139" xr:uid="{00000000-0005-0000-0000-0000650B0000}"/>
    <cellStyle name="Финансовый 4 2 7 2 4" xfId="2061" xr:uid="{00000000-0005-0000-0000-0000660B0000}"/>
    <cellStyle name="Финансовый 4 2 7 3" xfId="721" xr:uid="{00000000-0005-0000-0000-0000670B0000}"/>
    <cellStyle name="Финансовый 4 2 7 3 2" xfId="2335" xr:uid="{00000000-0005-0000-0000-0000680B0000}"/>
    <cellStyle name="Финансовый 4 2 7 4" xfId="1257" xr:uid="{00000000-0005-0000-0000-0000690B0000}"/>
    <cellStyle name="Финансовый 4 2 7 4 2" xfId="2871" xr:uid="{00000000-0005-0000-0000-00006A0B0000}"/>
    <cellStyle name="Финансовый 4 2 7 5" xfId="1793" xr:uid="{00000000-0005-0000-0000-00006B0B0000}"/>
    <cellStyle name="Финансовый 4 2 8" xfId="314" xr:uid="{00000000-0005-0000-0000-00006C0B0000}"/>
    <cellStyle name="Финансовый 4 2 8 2" xfId="857" xr:uid="{00000000-0005-0000-0000-00006D0B0000}"/>
    <cellStyle name="Финансовый 4 2 8 2 2" xfId="2471" xr:uid="{00000000-0005-0000-0000-00006E0B0000}"/>
    <cellStyle name="Финансовый 4 2 8 3" xfId="1393" xr:uid="{00000000-0005-0000-0000-00006F0B0000}"/>
    <cellStyle name="Финансовый 4 2 8 3 2" xfId="3007" xr:uid="{00000000-0005-0000-0000-0000700B0000}"/>
    <cellStyle name="Финансовый 4 2 8 4" xfId="1929" xr:uid="{00000000-0005-0000-0000-0000710B0000}"/>
    <cellStyle name="Финансовый 4 2 9" xfId="585" xr:uid="{00000000-0005-0000-0000-0000720B0000}"/>
    <cellStyle name="Финансовый 4 2 9 2" xfId="2199" xr:uid="{00000000-0005-0000-0000-0000730B0000}"/>
    <cellStyle name="Финансовый 4 3" xfId="44" xr:uid="{00000000-0005-0000-0000-0000740B0000}"/>
    <cellStyle name="Финансовый 4 3 2" xfId="62" xr:uid="{00000000-0005-0000-0000-0000750B0000}"/>
    <cellStyle name="Финансовый 4 3 2 2" xfId="157" xr:uid="{00000000-0005-0000-0000-0000760B0000}"/>
    <cellStyle name="Финансовый 4 3 2 2 2" xfId="296" xr:uid="{00000000-0005-0000-0000-0000770B0000}"/>
    <cellStyle name="Финансовый 4 3 2 2 2 2" xfId="564" xr:uid="{00000000-0005-0000-0000-0000780B0000}"/>
    <cellStyle name="Финансовый 4 3 2 2 2 2 2" xfId="1107" xr:uid="{00000000-0005-0000-0000-0000790B0000}"/>
    <cellStyle name="Финансовый 4 3 2 2 2 2 2 2" xfId="2721" xr:uid="{00000000-0005-0000-0000-00007A0B0000}"/>
    <cellStyle name="Финансовый 4 3 2 2 2 2 3" xfId="1643" xr:uid="{00000000-0005-0000-0000-00007B0B0000}"/>
    <cellStyle name="Финансовый 4 3 2 2 2 2 3 2" xfId="3257" xr:uid="{00000000-0005-0000-0000-00007C0B0000}"/>
    <cellStyle name="Финансовый 4 3 2 2 2 2 4" xfId="2179" xr:uid="{00000000-0005-0000-0000-00007D0B0000}"/>
    <cellStyle name="Финансовый 4 3 2 2 2 3" xfId="839" xr:uid="{00000000-0005-0000-0000-00007E0B0000}"/>
    <cellStyle name="Финансовый 4 3 2 2 2 3 2" xfId="2453" xr:uid="{00000000-0005-0000-0000-00007F0B0000}"/>
    <cellStyle name="Финансовый 4 3 2 2 2 4" xfId="1375" xr:uid="{00000000-0005-0000-0000-0000800B0000}"/>
    <cellStyle name="Финансовый 4 3 2 2 2 4 2" xfId="2989" xr:uid="{00000000-0005-0000-0000-0000810B0000}"/>
    <cellStyle name="Финансовый 4 3 2 2 2 5" xfId="1911" xr:uid="{00000000-0005-0000-0000-0000820B0000}"/>
    <cellStyle name="Финансовый 4 3 2 2 3" xfId="432" xr:uid="{00000000-0005-0000-0000-0000830B0000}"/>
    <cellStyle name="Финансовый 4 3 2 2 3 2" xfId="975" xr:uid="{00000000-0005-0000-0000-0000840B0000}"/>
    <cellStyle name="Финансовый 4 3 2 2 3 2 2" xfId="2589" xr:uid="{00000000-0005-0000-0000-0000850B0000}"/>
    <cellStyle name="Финансовый 4 3 2 2 3 3" xfId="1511" xr:uid="{00000000-0005-0000-0000-0000860B0000}"/>
    <cellStyle name="Финансовый 4 3 2 2 3 3 2" xfId="3125" xr:uid="{00000000-0005-0000-0000-0000870B0000}"/>
    <cellStyle name="Финансовый 4 3 2 2 3 4" xfId="2047" xr:uid="{00000000-0005-0000-0000-0000880B0000}"/>
    <cellStyle name="Финансовый 4 3 2 2 4" xfId="707" xr:uid="{00000000-0005-0000-0000-0000890B0000}"/>
    <cellStyle name="Финансовый 4 3 2 2 4 2" xfId="2321" xr:uid="{00000000-0005-0000-0000-00008A0B0000}"/>
    <cellStyle name="Финансовый 4 3 2 2 5" xfId="1243" xr:uid="{00000000-0005-0000-0000-00008B0B0000}"/>
    <cellStyle name="Финансовый 4 3 2 2 5 2" xfId="2857" xr:uid="{00000000-0005-0000-0000-00008C0B0000}"/>
    <cellStyle name="Финансовый 4 3 2 2 6" xfId="1779" xr:uid="{00000000-0005-0000-0000-00008D0B0000}"/>
    <cellStyle name="Финансовый 4 3 2 3" xfId="109" xr:uid="{00000000-0005-0000-0000-00008E0B0000}"/>
    <cellStyle name="Финансовый 4 3 2 3 2" xfId="251" xr:uid="{00000000-0005-0000-0000-00008F0B0000}"/>
    <cellStyle name="Финансовый 4 3 2 3 2 2" xfId="520" xr:uid="{00000000-0005-0000-0000-0000900B0000}"/>
    <cellStyle name="Финансовый 4 3 2 3 2 2 2" xfId="1063" xr:uid="{00000000-0005-0000-0000-0000910B0000}"/>
    <cellStyle name="Финансовый 4 3 2 3 2 2 2 2" xfId="2677" xr:uid="{00000000-0005-0000-0000-0000920B0000}"/>
    <cellStyle name="Финансовый 4 3 2 3 2 2 3" xfId="1599" xr:uid="{00000000-0005-0000-0000-0000930B0000}"/>
    <cellStyle name="Финансовый 4 3 2 3 2 2 3 2" xfId="3213" xr:uid="{00000000-0005-0000-0000-0000940B0000}"/>
    <cellStyle name="Финансовый 4 3 2 3 2 2 4" xfId="2135" xr:uid="{00000000-0005-0000-0000-0000950B0000}"/>
    <cellStyle name="Финансовый 4 3 2 3 2 3" xfId="795" xr:uid="{00000000-0005-0000-0000-0000960B0000}"/>
    <cellStyle name="Финансовый 4 3 2 3 2 3 2" xfId="2409" xr:uid="{00000000-0005-0000-0000-0000970B0000}"/>
    <cellStyle name="Финансовый 4 3 2 3 2 4" xfId="1331" xr:uid="{00000000-0005-0000-0000-0000980B0000}"/>
    <cellStyle name="Финансовый 4 3 2 3 2 4 2" xfId="2945" xr:uid="{00000000-0005-0000-0000-0000990B0000}"/>
    <cellStyle name="Финансовый 4 3 2 3 2 5" xfId="1867" xr:uid="{00000000-0005-0000-0000-00009A0B0000}"/>
    <cellStyle name="Финансовый 4 3 2 3 3" xfId="388" xr:uid="{00000000-0005-0000-0000-00009B0B0000}"/>
    <cellStyle name="Финансовый 4 3 2 3 3 2" xfId="931" xr:uid="{00000000-0005-0000-0000-00009C0B0000}"/>
    <cellStyle name="Финансовый 4 3 2 3 3 2 2" xfId="2545" xr:uid="{00000000-0005-0000-0000-00009D0B0000}"/>
    <cellStyle name="Финансовый 4 3 2 3 3 3" xfId="1467" xr:uid="{00000000-0005-0000-0000-00009E0B0000}"/>
    <cellStyle name="Финансовый 4 3 2 3 3 3 2" xfId="3081" xr:uid="{00000000-0005-0000-0000-00009F0B0000}"/>
    <cellStyle name="Финансовый 4 3 2 3 3 4" xfId="2003" xr:uid="{00000000-0005-0000-0000-0000A00B0000}"/>
    <cellStyle name="Финансовый 4 3 2 3 4" xfId="662" xr:uid="{00000000-0005-0000-0000-0000A10B0000}"/>
    <cellStyle name="Финансовый 4 3 2 3 4 2" xfId="2276" xr:uid="{00000000-0005-0000-0000-0000A20B0000}"/>
    <cellStyle name="Финансовый 4 3 2 3 5" xfId="1199" xr:uid="{00000000-0005-0000-0000-0000A30B0000}"/>
    <cellStyle name="Финансовый 4 3 2 3 5 2" xfId="2813" xr:uid="{00000000-0005-0000-0000-0000A40B0000}"/>
    <cellStyle name="Финансовый 4 3 2 3 6" xfId="1735" xr:uid="{00000000-0005-0000-0000-0000A50B0000}"/>
    <cellStyle name="Финансовый 4 3 2 4" xfId="206" xr:uid="{00000000-0005-0000-0000-0000A60B0000}"/>
    <cellStyle name="Финансовый 4 3 2 4 2" xfId="476" xr:uid="{00000000-0005-0000-0000-0000A70B0000}"/>
    <cellStyle name="Финансовый 4 3 2 4 2 2" xfId="1019" xr:uid="{00000000-0005-0000-0000-0000A80B0000}"/>
    <cellStyle name="Финансовый 4 3 2 4 2 2 2" xfId="2633" xr:uid="{00000000-0005-0000-0000-0000A90B0000}"/>
    <cellStyle name="Финансовый 4 3 2 4 2 3" xfId="1555" xr:uid="{00000000-0005-0000-0000-0000AA0B0000}"/>
    <cellStyle name="Финансовый 4 3 2 4 2 3 2" xfId="3169" xr:uid="{00000000-0005-0000-0000-0000AB0B0000}"/>
    <cellStyle name="Финансовый 4 3 2 4 2 4" xfId="2091" xr:uid="{00000000-0005-0000-0000-0000AC0B0000}"/>
    <cellStyle name="Финансовый 4 3 2 4 3" xfId="751" xr:uid="{00000000-0005-0000-0000-0000AD0B0000}"/>
    <cellStyle name="Финансовый 4 3 2 4 3 2" xfId="2365" xr:uid="{00000000-0005-0000-0000-0000AE0B0000}"/>
    <cellStyle name="Финансовый 4 3 2 4 4" xfId="1287" xr:uid="{00000000-0005-0000-0000-0000AF0B0000}"/>
    <cellStyle name="Финансовый 4 3 2 4 4 2" xfId="2901" xr:uid="{00000000-0005-0000-0000-0000B00B0000}"/>
    <cellStyle name="Финансовый 4 3 2 4 5" xfId="1823" xr:uid="{00000000-0005-0000-0000-0000B10B0000}"/>
    <cellStyle name="Финансовый 4 3 2 5" xfId="344" xr:uid="{00000000-0005-0000-0000-0000B20B0000}"/>
    <cellStyle name="Финансовый 4 3 2 5 2" xfId="887" xr:uid="{00000000-0005-0000-0000-0000B30B0000}"/>
    <cellStyle name="Финансовый 4 3 2 5 2 2" xfId="2501" xr:uid="{00000000-0005-0000-0000-0000B40B0000}"/>
    <cellStyle name="Финансовый 4 3 2 5 3" xfId="1423" xr:uid="{00000000-0005-0000-0000-0000B50B0000}"/>
    <cellStyle name="Финансовый 4 3 2 5 3 2" xfId="3037" xr:uid="{00000000-0005-0000-0000-0000B60B0000}"/>
    <cellStyle name="Финансовый 4 3 2 5 4" xfId="1959" xr:uid="{00000000-0005-0000-0000-0000B70B0000}"/>
    <cellStyle name="Финансовый 4 3 2 6" xfId="617" xr:uid="{00000000-0005-0000-0000-0000B80B0000}"/>
    <cellStyle name="Финансовый 4 3 2 6 2" xfId="2231" xr:uid="{00000000-0005-0000-0000-0000B90B0000}"/>
    <cellStyle name="Финансовый 4 3 2 7" xfId="1155" xr:uid="{00000000-0005-0000-0000-0000BA0B0000}"/>
    <cellStyle name="Финансовый 4 3 2 7 2" xfId="2769" xr:uid="{00000000-0005-0000-0000-0000BB0B0000}"/>
    <cellStyle name="Финансовый 4 3 2 8" xfId="1691" xr:uid="{00000000-0005-0000-0000-0000BC0B0000}"/>
    <cellStyle name="Финансовый 4 3 3" xfId="139" xr:uid="{00000000-0005-0000-0000-0000BD0B0000}"/>
    <cellStyle name="Финансовый 4 3 3 2" xfId="278" xr:uid="{00000000-0005-0000-0000-0000BE0B0000}"/>
    <cellStyle name="Финансовый 4 3 3 2 2" xfId="546" xr:uid="{00000000-0005-0000-0000-0000BF0B0000}"/>
    <cellStyle name="Финансовый 4 3 3 2 2 2" xfId="1089" xr:uid="{00000000-0005-0000-0000-0000C00B0000}"/>
    <cellStyle name="Финансовый 4 3 3 2 2 2 2" xfId="2703" xr:uid="{00000000-0005-0000-0000-0000C10B0000}"/>
    <cellStyle name="Финансовый 4 3 3 2 2 3" xfId="1625" xr:uid="{00000000-0005-0000-0000-0000C20B0000}"/>
    <cellStyle name="Финансовый 4 3 3 2 2 3 2" xfId="3239" xr:uid="{00000000-0005-0000-0000-0000C30B0000}"/>
    <cellStyle name="Финансовый 4 3 3 2 2 4" xfId="2161" xr:uid="{00000000-0005-0000-0000-0000C40B0000}"/>
    <cellStyle name="Финансовый 4 3 3 2 3" xfId="821" xr:uid="{00000000-0005-0000-0000-0000C50B0000}"/>
    <cellStyle name="Финансовый 4 3 3 2 3 2" xfId="2435" xr:uid="{00000000-0005-0000-0000-0000C60B0000}"/>
    <cellStyle name="Финансовый 4 3 3 2 4" xfId="1357" xr:uid="{00000000-0005-0000-0000-0000C70B0000}"/>
    <cellStyle name="Финансовый 4 3 3 2 4 2" xfId="2971" xr:uid="{00000000-0005-0000-0000-0000C80B0000}"/>
    <cellStyle name="Финансовый 4 3 3 2 5" xfId="1893" xr:uid="{00000000-0005-0000-0000-0000C90B0000}"/>
    <cellStyle name="Финансовый 4 3 3 3" xfId="414" xr:uid="{00000000-0005-0000-0000-0000CA0B0000}"/>
    <cellStyle name="Финансовый 4 3 3 3 2" xfId="957" xr:uid="{00000000-0005-0000-0000-0000CB0B0000}"/>
    <cellStyle name="Финансовый 4 3 3 3 2 2" xfId="2571" xr:uid="{00000000-0005-0000-0000-0000CC0B0000}"/>
    <cellStyle name="Финансовый 4 3 3 3 3" xfId="1493" xr:uid="{00000000-0005-0000-0000-0000CD0B0000}"/>
    <cellStyle name="Финансовый 4 3 3 3 3 2" xfId="3107" xr:uid="{00000000-0005-0000-0000-0000CE0B0000}"/>
    <cellStyle name="Финансовый 4 3 3 3 4" xfId="2029" xr:uid="{00000000-0005-0000-0000-0000CF0B0000}"/>
    <cellStyle name="Финансовый 4 3 3 4" xfId="689" xr:uid="{00000000-0005-0000-0000-0000D00B0000}"/>
    <cellStyle name="Финансовый 4 3 3 4 2" xfId="2303" xr:uid="{00000000-0005-0000-0000-0000D10B0000}"/>
    <cellStyle name="Финансовый 4 3 3 5" xfId="1225" xr:uid="{00000000-0005-0000-0000-0000D20B0000}"/>
    <cellStyle name="Финансовый 4 3 3 5 2" xfId="2839" xr:uid="{00000000-0005-0000-0000-0000D30B0000}"/>
    <cellStyle name="Финансовый 4 3 3 6" xfId="1761" xr:uid="{00000000-0005-0000-0000-0000D40B0000}"/>
    <cellStyle name="Финансовый 4 3 4" xfId="91" xr:uid="{00000000-0005-0000-0000-0000D50B0000}"/>
    <cellStyle name="Финансовый 4 3 4 2" xfId="233" xr:uid="{00000000-0005-0000-0000-0000D60B0000}"/>
    <cellStyle name="Финансовый 4 3 4 2 2" xfId="502" xr:uid="{00000000-0005-0000-0000-0000D70B0000}"/>
    <cellStyle name="Финансовый 4 3 4 2 2 2" xfId="1045" xr:uid="{00000000-0005-0000-0000-0000D80B0000}"/>
    <cellStyle name="Финансовый 4 3 4 2 2 2 2" xfId="2659" xr:uid="{00000000-0005-0000-0000-0000D90B0000}"/>
    <cellStyle name="Финансовый 4 3 4 2 2 3" xfId="1581" xr:uid="{00000000-0005-0000-0000-0000DA0B0000}"/>
    <cellStyle name="Финансовый 4 3 4 2 2 3 2" xfId="3195" xr:uid="{00000000-0005-0000-0000-0000DB0B0000}"/>
    <cellStyle name="Финансовый 4 3 4 2 2 4" xfId="2117" xr:uid="{00000000-0005-0000-0000-0000DC0B0000}"/>
    <cellStyle name="Финансовый 4 3 4 2 3" xfId="777" xr:uid="{00000000-0005-0000-0000-0000DD0B0000}"/>
    <cellStyle name="Финансовый 4 3 4 2 3 2" xfId="2391" xr:uid="{00000000-0005-0000-0000-0000DE0B0000}"/>
    <cellStyle name="Финансовый 4 3 4 2 4" xfId="1313" xr:uid="{00000000-0005-0000-0000-0000DF0B0000}"/>
    <cellStyle name="Финансовый 4 3 4 2 4 2" xfId="2927" xr:uid="{00000000-0005-0000-0000-0000E00B0000}"/>
    <cellStyle name="Финансовый 4 3 4 2 5" xfId="1849" xr:uid="{00000000-0005-0000-0000-0000E10B0000}"/>
    <cellStyle name="Финансовый 4 3 4 3" xfId="370" xr:uid="{00000000-0005-0000-0000-0000E20B0000}"/>
    <cellStyle name="Финансовый 4 3 4 3 2" xfId="913" xr:uid="{00000000-0005-0000-0000-0000E30B0000}"/>
    <cellStyle name="Финансовый 4 3 4 3 2 2" xfId="2527" xr:uid="{00000000-0005-0000-0000-0000E40B0000}"/>
    <cellStyle name="Финансовый 4 3 4 3 3" xfId="1449" xr:uid="{00000000-0005-0000-0000-0000E50B0000}"/>
    <cellStyle name="Финансовый 4 3 4 3 3 2" xfId="3063" xr:uid="{00000000-0005-0000-0000-0000E60B0000}"/>
    <cellStyle name="Финансовый 4 3 4 3 4" xfId="1985" xr:uid="{00000000-0005-0000-0000-0000E70B0000}"/>
    <cellStyle name="Финансовый 4 3 4 4" xfId="644" xr:uid="{00000000-0005-0000-0000-0000E80B0000}"/>
    <cellStyle name="Финансовый 4 3 4 4 2" xfId="2258" xr:uid="{00000000-0005-0000-0000-0000E90B0000}"/>
    <cellStyle name="Финансовый 4 3 4 5" xfId="1181" xr:uid="{00000000-0005-0000-0000-0000EA0B0000}"/>
    <cellStyle name="Финансовый 4 3 4 5 2" xfId="2795" xr:uid="{00000000-0005-0000-0000-0000EB0B0000}"/>
    <cellStyle name="Финансовый 4 3 4 6" xfId="1717" xr:uid="{00000000-0005-0000-0000-0000EC0B0000}"/>
    <cellStyle name="Финансовый 4 3 5" xfId="188" xr:uid="{00000000-0005-0000-0000-0000ED0B0000}"/>
    <cellStyle name="Финансовый 4 3 5 2" xfId="458" xr:uid="{00000000-0005-0000-0000-0000EE0B0000}"/>
    <cellStyle name="Финансовый 4 3 5 2 2" xfId="1001" xr:uid="{00000000-0005-0000-0000-0000EF0B0000}"/>
    <cellStyle name="Финансовый 4 3 5 2 2 2" xfId="2615" xr:uid="{00000000-0005-0000-0000-0000F00B0000}"/>
    <cellStyle name="Финансовый 4 3 5 2 3" xfId="1537" xr:uid="{00000000-0005-0000-0000-0000F10B0000}"/>
    <cellStyle name="Финансовый 4 3 5 2 3 2" xfId="3151" xr:uid="{00000000-0005-0000-0000-0000F20B0000}"/>
    <cellStyle name="Финансовый 4 3 5 2 4" xfId="2073" xr:uid="{00000000-0005-0000-0000-0000F30B0000}"/>
    <cellStyle name="Финансовый 4 3 5 3" xfId="733" xr:uid="{00000000-0005-0000-0000-0000F40B0000}"/>
    <cellStyle name="Финансовый 4 3 5 3 2" xfId="2347" xr:uid="{00000000-0005-0000-0000-0000F50B0000}"/>
    <cellStyle name="Финансовый 4 3 5 4" xfId="1269" xr:uid="{00000000-0005-0000-0000-0000F60B0000}"/>
    <cellStyle name="Финансовый 4 3 5 4 2" xfId="2883" xr:uid="{00000000-0005-0000-0000-0000F70B0000}"/>
    <cellStyle name="Финансовый 4 3 5 5" xfId="1805" xr:uid="{00000000-0005-0000-0000-0000F80B0000}"/>
    <cellStyle name="Финансовый 4 3 6" xfId="326" xr:uid="{00000000-0005-0000-0000-0000F90B0000}"/>
    <cellStyle name="Финансовый 4 3 6 2" xfId="869" xr:uid="{00000000-0005-0000-0000-0000FA0B0000}"/>
    <cellStyle name="Финансовый 4 3 6 2 2" xfId="2483" xr:uid="{00000000-0005-0000-0000-0000FB0B0000}"/>
    <cellStyle name="Финансовый 4 3 6 3" xfId="1405" xr:uid="{00000000-0005-0000-0000-0000FC0B0000}"/>
    <cellStyle name="Финансовый 4 3 6 3 2" xfId="3019" xr:uid="{00000000-0005-0000-0000-0000FD0B0000}"/>
    <cellStyle name="Финансовый 4 3 6 4" xfId="1941" xr:uid="{00000000-0005-0000-0000-0000FE0B0000}"/>
    <cellStyle name="Финансовый 4 3 7" xfId="599" xr:uid="{00000000-0005-0000-0000-0000FF0B0000}"/>
    <cellStyle name="Финансовый 4 3 7 2" xfId="2213" xr:uid="{00000000-0005-0000-0000-0000000C0000}"/>
    <cellStyle name="Финансовый 4 3 8" xfId="1137" xr:uid="{00000000-0005-0000-0000-0000010C0000}"/>
    <cellStyle name="Финансовый 4 3 8 2" xfId="2751" xr:uid="{00000000-0005-0000-0000-0000020C0000}"/>
    <cellStyle name="Финансовый 4 3 9" xfId="1673" xr:uid="{00000000-0005-0000-0000-0000030C0000}"/>
    <cellStyle name="Финансовый 4 4" xfId="35" xr:uid="{00000000-0005-0000-0000-0000040C0000}"/>
    <cellStyle name="Финансовый 4 4 2" xfId="130" xr:uid="{00000000-0005-0000-0000-0000050C0000}"/>
    <cellStyle name="Финансовый 4 4 2 2" xfId="269" xr:uid="{00000000-0005-0000-0000-0000060C0000}"/>
    <cellStyle name="Финансовый 4 4 2 2 2" xfId="538" xr:uid="{00000000-0005-0000-0000-0000070C0000}"/>
    <cellStyle name="Финансовый 4 4 2 2 2 2" xfId="1081" xr:uid="{00000000-0005-0000-0000-0000080C0000}"/>
    <cellStyle name="Финансовый 4 4 2 2 2 2 2" xfId="2695" xr:uid="{00000000-0005-0000-0000-0000090C0000}"/>
    <cellStyle name="Финансовый 4 4 2 2 2 3" xfId="1617" xr:uid="{00000000-0005-0000-0000-00000A0C0000}"/>
    <cellStyle name="Финансовый 4 4 2 2 2 3 2" xfId="3231" xr:uid="{00000000-0005-0000-0000-00000B0C0000}"/>
    <cellStyle name="Финансовый 4 4 2 2 2 4" xfId="2153" xr:uid="{00000000-0005-0000-0000-00000C0C0000}"/>
    <cellStyle name="Финансовый 4 4 2 2 3" xfId="813" xr:uid="{00000000-0005-0000-0000-00000D0C0000}"/>
    <cellStyle name="Финансовый 4 4 2 2 3 2" xfId="2427" xr:uid="{00000000-0005-0000-0000-00000E0C0000}"/>
    <cellStyle name="Финансовый 4 4 2 2 4" xfId="1349" xr:uid="{00000000-0005-0000-0000-00000F0C0000}"/>
    <cellStyle name="Финансовый 4 4 2 2 4 2" xfId="2963" xr:uid="{00000000-0005-0000-0000-0000100C0000}"/>
    <cellStyle name="Финансовый 4 4 2 2 5" xfId="1885" xr:uid="{00000000-0005-0000-0000-0000110C0000}"/>
    <cellStyle name="Финансовый 4 4 2 3" xfId="406" xr:uid="{00000000-0005-0000-0000-0000120C0000}"/>
    <cellStyle name="Финансовый 4 4 2 3 2" xfId="949" xr:uid="{00000000-0005-0000-0000-0000130C0000}"/>
    <cellStyle name="Финансовый 4 4 2 3 2 2" xfId="2563" xr:uid="{00000000-0005-0000-0000-0000140C0000}"/>
    <cellStyle name="Финансовый 4 4 2 3 3" xfId="1485" xr:uid="{00000000-0005-0000-0000-0000150C0000}"/>
    <cellStyle name="Финансовый 4 4 2 3 3 2" xfId="3099" xr:uid="{00000000-0005-0000-0000-0000160C0000}"/>
    <cellStyle name="Финансовый 4 4 2 3 4" xfId="2021" xr:uid="{00000000-0005-0000-0000-0000170C0000}"/>
    <cellStyle name="Финансовый 4 4 2 4" xfId="680" xr:uid="{00000000-0005-0000-0000-0000180C0000}"/>
    <cellStyle name="Финансовый 4 4 2 4 2" xfId="2294" xr:uid="{00000000-0005-0000-0000-0000190C0000}"/>
    <cellStyle name="Финансовый 4 4 2 5" xfId="1217" xr:uid="{00000000-0005-0000-0000-00001A0C0000}"/>
    <cellStyle name="Финансовый 4 4 2 5 2" xfId="2831" xr:uid="{00000000-0005-0000-0000-00001B0C0000}"/>
    <cellStyle name="Финансовый 4 4 2 6" xfId="1753" xr:uid="{00000000-0005-0000-0000-00001C0C0000}"/>
    <cellStyle name="Финансовый 4 4 3" xfId="82" xr:uid="{00000000-0005-0000-0000-00001D0C0000}"/>
    <cellStyle name="Финансовый 4 4 3 2" xfId="224" xr:uid="{00000000-0005-0000-0000-00001E0C0000}"/>
    <cellStyle name="Финансовый 4 4 3 2 2" xfId="494" xr:uid="{00000000-0005-0000-0000-00001F0C0000}"/>
    <cellStyle name="Финансовый 4 4 3 2 2 2" xfId="1037" xr:uid="{00000000-0005-0000-0000-0000200C0000}"/>
    <cellStyle name="Финансовый 4 4 3 2 2 2 2" xfId="2651" xr:uid="{00000000-0005-0000-0000-0000210C0000}"/>
    <cellStyle name="Финансовый 4 4 3 2 2 3" xfId="1573" xr:uid="{00000000-0005-0000-0000-0000220C0000}"/>
    <cellStyle name="Финансовый 4 4 3 2 2 3 2" xfId="3187" xr:uid="{00000000-0005-0000-0000-0000230C0000}"/>
    <cellStyle name="Финансовый 4 4 3 2 2 4" xfId="2109" xr:uid="{00000000-0005-0000-0000-0000240C0000}"/>
    <cellStyle name="Финансовый 4 4 3 2 3" xfId="769" xr:uid="{00000000-0005-0000-0000-0000250C0000}"/>
    <cellStyle name="Финансовый 4 4 3 2 3 2" xfId="2383" xr:uid="{00000000-0005-0000-0000-0000260C0000}"/>
    <cellStyle name="Финансовый 4 4 3 2 4" xfId="1305" xr:uid="{00000000-0005-0000-0000-0000270C0000}"/>
    <cellStyle name="Финансовый 4 4 3 2 4 2" xfId="2919" xr:uid="{00000000-0005-0000-0000-0000280C0000}"/>
    <cellStyle name="Финансовый 4 4 3 2 5" xfId="1841" xr:uid="{00000000-0005-0000-0000-0000290C0000}"/>
    <cellStyle name="Финансовый 4 4 3 3" xfId="362" xr:uid="{00000000-0005-0000-0000-00002A0C0000}"/>
    <cellStyle name="Финансовый 4 4 3 3 2" xfId="905" xr:uid="{00000000-0005-0000-0000-00002B0C0000}"/>
    <cellStyle name="Финансовый 4 4 3 3 2 2" xfId="2519" xr:uid="{00000000-0005-0000-0000-00002C0C0000}"/>
    <cellStyle name="Финансовый 4 4 3 3 3" xfId="1441" xr:uid="{00000000-0005-0000-0000-00002D0C0000}"/>
    <cellStyle name="Финансовый 4 4 3 3 3 2" xfId="3055" xr:uid="{00000000-0005-0000-0000-00002E0C0000}"/>
    <cellStyle name="Финансовый 4 4 3 3 4" xfId="1977" xr:uid="{00000000-0005-0000-0000-00002F0C0000}"/>
    <cellStyle name="Финансовый 4 4 3 4" xfId="635" xr:uid="{00000000-0005-0000-0000-0000300C0000}"/>
    <cellStyle name="Финансовый 4 4 3 4 2" xfId="2249" xr:uid="{00000000-0005-0000-0000-0000310C0000}"/>
    <cellStyle name="Финансовый 4 4 3 5" xfId="1173" xr:uid="{00000000-0005-0000-0000-0000320C0000}"/>
    <cellStyle name="Финансовый 4 4 3 5 2" xfId="2787" xr:uid="{00000000-0005-0000-0000-0000330C0000}"/>
    <cellStyle name="Финансовый 4 4 3 6" xfId="1709" xr:uid="{00000000-0005-0000-0000-0000340C0000}"/>
    <cellStyle name="Финансовый 4 4 4" xfId="179" xr:uid="{00000000-0005-0000-0000-0000350C0000}"/>
    <cellStyle name="Финансовый 4 4 4 2" xfId="450" xr:uid="{00000000-0005-0000-0000-0000360C0000}"/>
    <cellStyle name="Финансовый 4 4 4 2 2" xfId="993" xr:uid="{00000000-0005-0000-0000-0000370C0000}"/>
    <cellStyle name="Финансовый 4 4 4 2 2 2" xfId="2607" xr:uid="{00000000-0005-0000-0000-0000380C0000}"/>
    <cellStyle name="Финансовый 4 4 4 2 3" xfId="1529" xr:uid="{00000000-0005-0000-0000-0000390C0000}"/>
    <cellStyle name="Финансовый 4 4 4 2 3 2" xfId="3143" xr:uid="{00000000-0005-0000-0000-00003A0C0000}"/>
    <cellStyle name="Финансовый 4 4 4 2 4" xfId="2065" xr:uid="{00000000-0005-0000-0000-00003B0C0000}"/>
    <cellStyle name="Финансовый 4 4 4 3" xfId="725" xr:uid="{00000000-0005-0000-0000-00003C0C0000}"/>
    <cellStyle name="Финансовый 4 4 4 3 2" xfId="2339" xr:uid="{00000000-0005-0000-0000-00003D0C0000}"/>
    <cellStyle name="Финансовый 4 4 4 4" xfId="1261" xr:uid="{00000000-0005-0000-0000-00003E0C0000}"/>
    <cellStyle name="Финансовый 4 4 4 4 2" xfId="2875" xr:uid="{00000000-0005-0000-0000-00003F0C0000}"/>
    <cellStyle name="Финансовый 4 4 4 5" xfId="1797" xr:uid="{00000000-0005-0000-0000-0000400C0000}"/>
    <cellStyle name="Финансовый 4 4 5" xfId="318" xr:uid="{00000000-0005-0000-0000-0000410C0000}"/>
    <cellStyle name="Финансовый 4 4 5 2" xfId="861" xr:uid="{00000000-0005-0000-0000-0000420C0000}"/>
    <cellStyle name="Финансовый 4 4 5 2 2" xfId="2475" xr:uid="{00000000-0005-0000-0000-0000430C0000}"/>
    <cellStyle name="Финансовый 4 4 5 3" xfId="1397" xr:uid="{00000000-0005-0000-0000-0000440C0000}"/>
    <cellStyle name="Финансовый 4 4 5 3 2" xfId="3011" xr:uid="{00000000-0005-0000-0000-0000450C0000}"/>
    <cellStyle name="Финансовый 4 4 5 4" xfId="1933" xr:uid="{00000000-0005-0000-0000-0000460C0000}"/>
    <cellStyle name="Финансовый 4 4 6" xfId="590" xr:uid="{00000000-0005-0000-0000-0000470C0000}"/>
    <cellStyle name="Финансовый 4 4 6 2" xfId="2204" xr:uid="{00000000-0005-0000-0000-0000480C0000}"/>
    <cellStyle name="Финансовый 4 4 7" xfId="1129" xr:uid="{00000000-0005-0000-0000-0000490C0000}"/>
    <cellStyle name="Финансовый 4 4 7 2" xfId="2743" xr:uid="{00000000-0005-0000-0000-00004A0C0000}"/>
    <cellStyle name="Финансовый 4 4 8" xfId="1665" xr:uid="{00000000-0005-0000-0000-00004B0C0000}"/>
    <cellStyle name="Финансовый 4 5" xfId="53" xr:uid="{00000000-0005-0000-0000-00004C0C0000}"/>
    <cellStyle name="Финансовый 4 5 2" xfId="148" xr:uid="{00000000-0005-0000-0000-00004D0C0000}"/>
    <cellStyle name="Финансовый 4 5 2 2" xfId="287" xr:uid="{00000000-0005-0000-0000-00004E0C0000}"/>
    <cellStyle name="Финансовый 4 5 2 2 2" xfId="555" xr:uid="{00000000-0005-0000-0000-00004F0C0000}"/>
    <cellStyle name="Финансовый 4 5 2 2 2 2" xfId="1098" xr:uid="{00000000-0005-0000-0000-0000500C0000}"/>
    <cellStyle name="Финансовый 4 5 2 2 2 2 2" xfId="2712" xr:uid="{00000000-0005-0000-0000-0000510C0000}"/>
    <cellStyle name="Финансовый 4 5 2 2 2 3" xfId="1634" xr:uid="{00000000-0005-0000-0000-0000520C0000}"/>
    <cellStyle name="Финансовый 4 5 2 2 2 3 2" xfId="3248" xr:uid="{00000000-0005-0000-0000-0000530C0000}"/>
    <cellStyle name="Финансовый 4 5 2 2 2 4" xfId="2170" xr:uid="{00000000-0005-0000-0000-0000540C0000}"/>
    <cellStyle name="Финансовый 4 5 2 2 3" xfId="830" xr:uid="{00000000-0005-0000-0000-0000550C0000}"/>
    <cellStyle name="Финансовый 4 5 2 2 3 2" xfId="2444" xr:uid="{00000000-0005-0000-0000-0000560C0000}"/>
    <cellStyle name="Финансовый 4 5 2 2 4" xfId="1366" xr:uid="{00000000-0005-0000-0000-0000570C0000}"/>
    <cellStyle name="Финансовый 4 5 2 2 4 2" xfId="2980" xr:uid="{00000000-0005-0000-0000-0000580C0000}"/>
    <cellStyle name="Финансовый 4 5 2 2 5" xfId="1902" xr:uid="{00000000-0005-0000-0000-0000590C0000}"/>
    <cellStyle name="Финансовый 4 5 2 3" xfId="423" xr:uid="{00000000-0005-0000-0000-00005A0C0000}"/>
    <cellStyle name="Финансовый 4 5 2 3 2" xfId="966" xr:uid="{00000000-0005-0000-0000-00005B0C0000}"/>
    <cellStyle name="Финансовый 4 5 2 3 2 2" xfId="2580" xr:uid="{00000000-0005-0000-0000-00005C0C0000}"/>
    <cellStyle name="Финансовый 4 5 2 3 3" xfId="1502" xr:uid="{00000000-0005-0000-0000-00005D0C0000}"/>
    <cellStyle name="Финансовый 4 5 2 3 3 2" xfId="3116" xr:uid="{00000000-0005-0000-0000-00005E0C0000}"/>
    <cellStyle name="Финансовый 4 5 2 3 4" xfId="2038" xr:uid="{00000000-0005-0000-0000-00005F0C0000}"/>
    <cellStyle name="Финансовый 4 5 2 4" xfId="698" xr:uid="{00000000-0005-0000-0000-0000600C0000}"/>
    <cellStyle name="Финансовый 4 5 2 4 2" xfId="2312" xr:uid="{00000000-0005-0000-0000-0000610C0000}"/>
    <cellStyle name="Финансовый 4 5 2 5" xfId="1234" xr:uid="{00000000-0005-0000-0000-0000620C0000}"/>
    <cellStyle name="Финансовый 4 5 2 5 2" xfId="2848" xr:uid="{00000000-0005-0000-0000-0000630C0000}"/>
    <cellStyle name="Финансовый 4 5 2 6" xfId="1770" xr:uid="{00000000-0005-0000-0000-0000640C0000}"/>
    <cellStyle name="Финансовый 4 5 3" xfId="100" xr:uid="{00000000-0005-0000-0000-0000650C0000}"/>
    <cellStyle name="Финансовый 4 5 3 2" xfId="242" xr:uid="{00000000-0005-0000-0000-0000660C0000}"/>
    <cellStyle name="Финансовый 4 5 3 2 2" xfId="511" xr:uid="{00000000-0005-0000-0000-0000670C0000}"/>
    <cellStyle name="Финансовый 4 5 3 2 2 2" xfId="1054" xr:uid="{00000000-0005-0000-0000-0000680C0000}"/>
    <cellStyle name="Финансовый 4 5 3 2 2 2 2" xfId="2668" xr:uid="{00000000-0005-0000-0000-0000690C0000}"/>
    <cellStyle name="Финансовый 4 5 3 2 2 3" xfId="1590" xr:uid="{00000000-0005-0000-0000-00006A0C0000}"/>
    <cellStyle name="Финансовый 4 5 3 2 2 3 2" xfId="3204" xr:uid="{00000000-0005-0000-0000-00006B0C0000}"/>
    <cellStyle name="Финансовый 4 5 3 2 2 4" xfId="2126" xr:uid="{00000000-0005-0000-0000-00006C0C0000}"/>
    <cellStyle name="Финансовый 4 5 3 2 3" xfId="786" xr:uid="{00000000-0005-0000-0000-00006D0C0000}"/>
    <cellStyle name="Финансовый 4 5 3 2 3 2" xfId="2400" xr:uid="{00000000-0005-0000-0000-00006E0C0000}"/>
    <cellStyle name="Финансовый 4 5 3 2 4" xfId="1322" xr:uid="{00000000-0005-0000-0000-00006F0C0000}"/>
    <cellStyle name="Финансовый 4 5 3 2 4 2" xfId="2936" xr:uid="{00000000-0005-0000-0000-0000700C0000}"/>
    <cellStyle name="Финансовый 4 5 3 2 5" xfId="1858" xr:uid="{00000000-0005-0000-0000-0000710C0000}"/>
    <cellStyle name="Финансовый 4 5 3 3" xfId="379" xr:uid="{00000000-0005-0000-0000-0000720C0000}"/>
    <cellStyle name="Финансовый 4 5 3 3 2" xfId="922" xr:uid="{00000000-0005-0000-0000-0000730C0000}"/>
    <cellStyle name="Финансовый 4 5 3 3 2 2" xfId="2536" xr:uid="{00000000-0005-0000-0000-0000740C0000}"/>
    <cellStyle name="Финансовый 4 5 3 3 3" xfId="1458" xr:uid="{00000000-0005-0000-0000-0000750C0000}"/>
    <cellStyle name="Финансовый 4 5 3 3 3 2" xfId="3072" xr:uid="{00000000-0005-0000-0000-0000760C0000}"/>
    <cellStyle name="Финансовый 4 5 3 3 4" xfId="1994" xr:uid="{00000000-0005-0000-0000-0000770C0000}"/>
    <cellStyle name="Финансовый 4 5 3 4" xfId="653" xr:uid="{00000000-0005-0000-0000-0000780C0000}"/>
    <cellStyle name="Финансовый 4 5 3 4 2" xfId="2267" xr:uid="{00000000-0005-0000-0000-0000790C0000}"/>
    <cellStyle name="Финансовый 4 5 3 5" xfId="1190" xr:uid="{00000000-0005-0000-0000-00007A0C0000}"/>
    <cellStyle name="Финансовый 4 5 3 5 2" xfId="2804" xr:uid="{00000000-0005-0000-0000-00007B0C0000}"/>
    <cellStyle name="Финансовый 4 5 3 6" xfId="1726" xr:uid="{00000000-0005-0000-0000-00007C0C0000}"/>
    <cellStyle name="Финансовый 4 5 4" xfId="197" xr:uid="{00000000-0005-0000-0000-00007D0C0000}"/>
    <cellStyle name="Финансовый 4 5 4 2" xfId="467" xr:uid="{00000000-0005-0000-0000-00007E0C0000}"/>
    <cellStyle name="Финансовый 4 5 4 2 2" xfId="1010" xr:uid="{00000000-0005-0000-0000-00007F0C0000}"/>
    <cellStyle name="Финансовый 4 5 4 2 2 2" xfId="2624" xr:uid="{00000000-0005-0000-0000-0000800C0000}"/>
    <cellStyle name="Финансовый 4 5 4 2 3" xfId="1546" xr:uid="{00000000-0005-0000-0000-0000810C0000}"/>
    <cellStyle name="Финансовый 4 5 4 2 3 2" xfId="3160" xr:uid="{00000000-0005-0000-0000-0000820C0000}"/>
    <cellStyle name="Финансовый 4 5 4 2 4" xfId="2082" xr:uid="{00000000-0005-0000-0000-0000830C0000}"/>
    <cellStyle name="Финансовый 4 5 4 3" xfId="742" xr:uid="{00000000-0005-0000-0000-0000840C0000}"/>
    <cellStyle name="Финансовый 4 5 4 3 2" xfId="2356" xr:uid="{00000000-0005-0000-0000-0000850C0000}"/>
    <cellStyle name="Финансовый 4 5 4 4" xfId="1278" xr:uid="{00000000-0005-0000-0000-0000860C0000}"/>
    <cellStyle name="Финансовый 4 5 4 4 2" xfId="2892" xr:uid="{00000000-0005-0000-0000-0000870C0000}"/>
    <cellStyle name="Финансовый 4 5 4 5" xfId="1814" xr:uid="{00000000-0005-0000-0000-0000880C0000}"/>
    <cellStyle name="Финансовый 4 5 5" xfId="335" xr:uid="{00000000-0005-0000-0000-0000890C0000}"/>
    <cellStyle name="Финансовый 4 5 5 2" xfId="878" xr:uid="{00000000-0005-0000-0000-00008A0C0000}"/>
    <cellStyle name="Финансовый 4 5 5 2 2" xfId="2492" xr:uid="{00000000-0005-0000-0000-00008B0C0000}"/>
    <cellStyle name="Финансовый 4 5 5 3" xfId="1414" xr:uid="{00000000-0005-0000-0000-00008C0C0000}"/>
    <cellStyle name="Финансовый 4 5 5 3 2" xfId="3028" xr:uid="{00000000-0005-0000-0000-00008D0C0000}"/>
    <cellStyle name="Финансовый 4 5 5 4" xfId="1950" xr:uid="{00000000-0005-0000-0000-00008E0C0000}"/>
    <cellStyle name="Финансовый 4 5 6" xfId="608" xr:uid="{00000000-0005-0000-0000-00008F0C0000}"/>
    <cellStyle name="Финансовый 4 5 6 2" xfId="2222" xr:uid="{00000000-0005-0000-0000-0000900C0000}"/>
    <cellStyle name="Финансовый 4 5 7" xfId="1146" xr:uid="{00000000-0005-0000-0000-0000910C0000}"/>
    <cellStyle name="Финансовый 4 5 7 2" xfId="2760" xr:uid="{00000000-0005-0000-0000-0000920C0000}"/>
    <cellStyle name="Финансовый 4 5 8" xfId="1682" xr:uid="{00000000-0005-0000-0000-0000930C0000}"/>
    <cellStyle name="Финансовый 4 6" xfId="119" xr:uid="{00000000-0005-0000-0000-0000940C0000}"/>
    <cellStyle name="Финансовый 4 6 2" xfId="260" xr:uid="{00000000-0005-0000-0000-0000950C0000}"/>
    <cellStyle name="Финансовый 4 6 2 2" xfId="529" xr:uid="{00000000-0005-0000-0000-0000960C0000}"/>
    <cellStyle name="Финансовый 4 6 2 2 2" xfId="1072" xr:uid="{00000000-0005-0000-0000-0000970C0000}"/>
    <cellStyle name="Финансовый 4 6 2 2 2 2" xfId="2686" xr:uid="{00000000-0005-0000-0000-0000980C0000}"/>
    <cellStyle name="Финансовый 4 6 2 2 3" xfId="1608" xr:uid="{00000000-0005-0000-0000-0000990C0000}"/>
    <cellStyle name="Финансовый 4 6 2 2 3 2" xfId="3222" xr:uid="{00000000-0005-0000-0000-00009A0C0000}"/>
    <cellStyle name="Финансовый 4 6 2 2 4" xfId="2144" xr:uid="{00000000-0005-0000-0000-00009B0C0000}"/>
    <cellStyle name="Финансовый 4 6 2 3" xfId="804" xr:uid="{00000000-0005-0000-0000-00009C0C0000}"/>
    <cellStyle name="Финансовый 4 6 2 3 2" xfId="2418" xr:uid="{00000000-0005-0000-0000-00009D0C0000}"/>
    <cellStyle name="Финансовый 4 6 2 4" xfId="1340" xr:uid="{00000000-0005-0000-0000-00009E0C0000}"/>
    <cellStyle name="Финансовый 4 6 2 4 2" xfId="2954" xr:uid="{00000000-0005-0000-0000-00009F0C0000}"/>
    <cellStyle name="Финансовый 4 6 2 5" xfId="1876" xr:uid="{00000000-0005-0000-0000-0000A00C0000}"/>
    <cellStyle name="Финансовый 4 6 3" xfId="397" xr:uid="{00000000-0005-0000-0000-0000A10C0000}"/>
    <cellStyle name="Финансовый 4 6 3 2" xfId="940" xr:uid="{00000000-0005-0000-0000-0000A20C0000}"/>
    <cellStyle name="Финансовый 4 6 3 2 2" xfId="2554" xr:uid="{00000000-0005-0000-0000-0000A30C0000}"/>
    <cellStyle name="Финансовый 4 6 3 3" xfId="1476" xr:uid="{00000000-0005-0000-0000-0000A40C0000}"/>
    <cellStyle name="Финансовый 4 6 3 3 2" xfId="3090" xr:uid="{00000000-0005-0000-0000-0000A50C0000}"/>
    <cellStyle name="Финансовый 4 6 3 4" xfId="2012" xr:uid="{00000000-0005-0000-0000-0000A60C0000}"/>
    <cellStyle name="Финансовый 4 6 4" xfId="671" xr:uid="{00000000-0005-0000-0000-0000A70C0000}"/>
    <cellStyle name="Финансовый 4 6 4 2" xfId="2285" xr:uid="{00000000-0005-0000-0000-0000A80C0000}"/>
    <cellStyle name="Финансовый 4 6 5" xfId="1208" xr:uid="{00000000-0005-0000-0000-0000A90C0000}"/>
    <cellStyle name="Финансовый 4 6 5 2" xfId="2822" xr:uid="{00000000-0005-0000-0000-0000AA0C0000}"/>
    <cellStyle name="Финансовый 4 6 6" xfId="1744" xr:uid="{00000000-0005-0000-0000-0000AB0C0000}"/>
    <cellStyle name="Финансовый 4 7" xfId="71" xr:uid="{00000000-0005-0000-0000-0000AC0C0000}"/>
    <cellStyle name="Финансовый 4 7 2" xfId="215" xr:uid="{00000000-0005-0000-0000-0000AD0C0000}"/>
    <cellStyle name="Финансовый 4 7 2 2" xfId="485" xr:uid="{00000000-0005-0000-0000-0000AE0C0000}"/>
    <cellStyle name="Финансовый 4 7 2 2 2" xfId="1028" xr:uid="{00000000-0005-0000-0000-0000AF0C0000}"/>
    <cellStyle name="Финансовый 4 7 2 2 2 2" xfId="2642" xr:uid="{00000000-0005-0000-0000-0000B00C0000}"/>
    <cellStyle name="Финансовый 4 7 2 2 3" xfId="1564" xr:uid="{00000000-0005-0000-0000-0000B10C0000}"/>
    <cellStyle name="Финансовый 4 7 2 2 3 2" xfId="3178" xr:uid="{00000000-0005-0000-0000-0000B20C0000}"/>
    <cellStyle name="Финансовый 4 7 2 2 4" xfId="2100" xr:uid="{00000000-0005-0000-0000-0000B30C0000}"/>
    <cellStyle name="Финансовый 4 7 2 3" xfId="760" xr:uid="{00000000-0005-0000-0000-0000B40C0000}"/>
    <cellStyle name="Финансовый 4 7 2 3 2" xfId="2374" xr:uid="{00000000-0005-0000-0000-0000B50C0000}"/>
    <cellStyle name="Финансовый 4 7 2 4" xfId="1296" xr:uid="{00000000-0005-0000-0000-0000B60C0000}"/>
    <cellStyle name="Финансовый 4 7 2 4 2" xfId="2910" xr:uid="{00000000-0005-0000-0000-0000B70C0000}"/>
    <cellStyle name="Финансовый 4 7 2 5" xfId="1832" xr:uid="{00000000-0005-0000-0000-0000B80C0000}"/>
    <cellStyle name="Финансовый 4 7 3" xfId="353" xr:uid="{00000000-0005-0000-0000-0000B90C0000}"/>
    <cellStyle name="Финансовый 4 7 3 2" xfId="896" xr:uid="{00000000-0005-0000-0000-0000BA0C0000}"/>
    <cellStyle name="Финансовый 4 7 3 2 2" xfId="2510" xr:uid="{00000000-0005-0000-0000-0000BB0C0000}"/>
    <cellStyle name="Финансовый 4 7 3 3" xfId="1432" xr:uid="{00000000-0005-0000-0000-0000BC0C0000}"/>
    <cellStyle name="Финансовый 4 7 3 3 2" xfId="3046" xr:uid="{00000000-0005-0000-0000-0000BD0C0000}"/>
    <cellStyle name="Финансовый 4 7 3 4" xfId="1968" xr:uid="{00000000-0005-0000-0000-0000BE0C0000}"/>
    <cellStyle name="Финансовый 4 7 4" xfId="626" xr:uid="{00000000-0005-0000-0000-0000BF0C0000}"/>
    <cellStyle name="Финансовый 4 7 4 2" xfId="2240" xr:uid="{00000000-0005-0000-0000-0000C00C0000}"/>
    <cellStyle name="Финансовый 4 7 5" xfId="1164" xr:uid="{00000000-0005-0000-0000-0000C10C0000}"/>
    <cellStyle name="Финансовый 4 7 5 2" xfId="2778" xr:uid="{00000000-0005-0000-0000-0000C20C0000}"/>
    <cellStyle name="Финансовый 4 7 6" xfId="1700" xr:uid="{00000000-0005-0000-0000-0000C30C0000}"/>
    <cellStyle name="Финансовый 4 8" xfId="167" xr:uid="{00000000-0005-0000-0000-0000C40C0000}"/>
    <cellStyle name="Финансовый 4 8 2" xfId="441" xr:uid="{00000000-0005-0000-0000-0000C50C0000}"/>
    <cellStyle name="Финансовый 4 8 2 2" xfId="984" xr:uid="{00000000-0005-0000-0000-0000C60C0000}"/>
    <cellStyle name="Финансовый 4 8 2 2 2" xfId="2598" xr:uid="{00000000-0005-0000-0000-0000C70C0000}"/>
    <cellStyle name="Финансовый 4 8 2 3" xfId="1520" xr:uid="{00000000-0005-0000-0000-0000C80C0000}"/>
    <cellStyle name="Финансовый 4 8 2 3 2" xfId="3134" xr:uid="{00000000-0005-0000-0000-0000C90C0000}"/>
    <cellStyle name="Финансовый 4 8 2 4" xfId="2056" xr:uid="{00000000-0005-0000-0000-0000CA0C0000}"/>
    <cellStyle name="Финансовый 4 8 3" xfId="716" xr:uid="{00000000-0005-0000-0000-0000CB0C0000}"/>
    <cellStyle name="Финансовый 4 8 3 2" xfId="2330" xr:uid="{00000000-0005-0000-0000-0000CC0C0000}"/>
    <cellStyle name="Финансовый 4 8 4" xfId="1252" xr:uid="{00000000-0005-0000-0000-0000CD0C0000}"/>
    <cellStyle name="Финансовый 4 8 4 2" xfId="2866" xr:uid="{00000000-0005-0000-0000-0000CE0C0000}"/>
    <cellStyle name="Финансовый 4 8 5" xfId="1788" xr:uid="{00000000-0005-0000-0000-0000CF0C0000}"/>
    <cellStyle name="Финансовый 4 9" xfId="309" xr:uid="{00000000-0005-0000-0000-0000D00C0000}"/>
    <cellStyle name="Финансовый 4 9 2" xfId="852" xr:uid="{00000000-0005-0000-0000-0000D10C0000}"/>
    <cellStyle name="Финансовый 4 9 2 2" xfId="2466" xr:uid="{00000000-0005-0000-0000-0000D20C0000}"/>
    <cellStyle name="Финансовый 4 9 3" xfId="1388" xr:uid="{00000000-0005-0000-0000-0000D30C0000}"/>
    <cellStyle name="Финансовый 4 9 3 2" xfId="3002" xr:uid="{00000000-0005-0000-0000-0000D40C0000}"/>
    <cellStyle name="Финансовый 4 9 4" xfId="1924" xr:uid="{00000000-0005-0000-0000-0000D50C0000}"/>
    <cellStyle name="Финансовый 5" xfId="163" xr:uid="{00000000-0005-0000-0000-0000D60C0000}"/>
  </cellStyles>
  <dxfs count="13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theme="1"/>
    <pageSetUpPr fitToPage="1"/>
  </sheetPr>
  <dimension ref="B1:CI150"/>
  <sheetViews>
    <sheetView tabSelected="1" zoomScale="70" zoomScaleNormal="70" zoomScalePageLayoutView="125" workbookViewId="0">
      <selection activeCell="E6" sqref="E6:H6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109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.77734375" style="1" hidden="1" customWidth="1"/>
    <col min="19" max="19" width="24.77734375" style="1" hidden="1" customWidth="1"/>
    <col min="20" max="32" width="11.77734375" style="1" hidden="1" customWidth="1"/>
    <col min="33" max="33" width="14.77734375" style="1" hidden="1" customWidth="1"/>
    <col min="34" max="46" width="12.109375" style="1" hidden="1" customWidth="1"/>
    <col min="47" max="48" width="12.77734375" style="1" hidden="1" customWidth="1"/>
    <col min="49" max="52" width="10.109375" style="1" hidden="1" customWidth="1"/>
    <col min="53" max="53" width="13.5546875" style="1" hidden="1" customWidth="1"/>
    <col min="54" max="54" width="12.77734375" style="1" hidden="1" customWidth="1"/>
    <col min="55" max="62" width="10.109375" style="1" hidden="1" customWidth="1"/>
    <col min="63" max="63" width="12.77734375" style="1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441" t="s">
        <v>104</v>
      </c>
      <c r="C1" s="441"/>
      <c r="D1" s="441"/>
      <c r="E1" s="441"/>
      <c r="F1" s="441"/>
      <c r="G1" s="441"/>
      <c r="H1" s="441"/>
      <c r="I1" s="118"/>
      <c r="J1" s="441" t="s">
        <v>105</v>
      </c>
      <c r="K1" s="441"/>
      <c r="L1" s="441"/>
      <c r="M1" s="441"/>
      <c r="N1" s="441"/>
      <c r="O1" s="441"/>
      <c r="P1" s="188"/>
      <c r="Q1" s="155"/>
      <c r="R1" s="155"/>
      <c r="S1" s="155"/>
    </row>
    <row r="2" spans="2:87" ht="25.05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24"/>
      <c r="BK2" s="1" t="s">
        <v>515</v>
      </c>
    </row>
    <row r="3" spans="2:87" s="3" customFormat="1" ht="25.05" customHeight="1" thickBot="1" x14ac:dyDescent="0.35">
      <c r="B3" s="426" t="s">
        <v>465</v>
      </c>
      <c r="C3" s="427"/>
      <c r="D3" s="427"/>
      <c r="E3" s="434">
        <v>2600</v>
      </c>
      <c r="F3" s="434"/>
      <c r="G3" s="434"/>
      <c r="H3" s="435"/>
      <c r="J3" s="444" t="s">
        <v>263</v>
      </c>
      <c r="K3" s="445"/>
      <c r="N3" s="323"/>
      <c r="O3" s="323"/>
      <c r="P3" s="261"/>
      <c r="V3" s="414" t="s">
        <v>417</v>
      </c>
      <c r="W3" s="415"/>
      <c r="X3" s="416"/>
      <c r="Y3" s="417" t="s">
        <v>418</v>
      </c>
      <c r="Z3" s="417"/>
      <c r="BD3" s="186" t="s">
        <v>418</v>
      </c>
      <c r="BJ3" s="325"/>
      <c r="BK3" s="3" t="s">
        <v>516</v>
      </c>
    </row>
    <row r="4" spans="2:87" ht="25.05" customHeight="1" x14ac:dyDescent="0.3">
      <c r="B4" s="428" t="s">
        <v>120</v>
      </c>
      <c r="C4" s="429"/>
      <c r="D4" s="429"/>
      <c r="E4" s="436">
        <v>3600</v>
      </c>
      <c r="F4" s="436"/>
      <c r="G4" s="436"/>
      <c r="H4" s="437"/>
      <c r="J4" s="17" t="s">
        <v>20</v>
      </c>
      <c r="K4" s="231">
        <f>IF(OR(E8=BU6,E8=BU7),E3+100-82,E3-82)</f>
        <v>2518</v>
      </c>
      <c r="Q4" s="396" t="s">
        <v>453</v>
      </c>
    </row>
    <row r="5" spans="2:87" ht="25.05" customHeight="1" thickBot="1" x14ac:dyDescent="0.35">
      <c r="B5" s="428" t="s">
        <v>442</v>
      </c>
      <c r="C5" s="429"/>
      <c r="D5" s="429"/>
      <c r="E5" s="384">
        <v>0</v>
      </c>
      <c r="F5" s="384"/>
      <c r="G5" s="384"/>
      <c r="H5" s="385"/>
      <c r="J5" s="119" t="s">
        <v>21</v>
      </c>
      <c r="K5" s="232">
        <f>ROUNDUP(IF(E8=BU6,E4+24,
IF(OR(E8=BU7,E8=BU8),(E4-IF(OR(E13=BU38,E13=BU39),10,0))/2+12,
IF(E8=BU9,(E4-IF(OR(E13=BU38,E13=BU39),10,0)+12)/2,
IF(E8=BU10,(E4-IF(OR(E13=BU38,E13=BU39),10,0)+24)/3,
IF(AND(E8=BU11,E10&gt;1),(E4-IF(OR(E13=BU38,E13=BU39),5,0)+12+(E10-1)*12)/E10,
IF(AND(OR(E8=BU13,E8=BU12,E8=BU14),E10&gt;1),(E4-IF(OR(E13=BU38,E13=BU39),10,0)+(E10-1)*12)/E10,
IF(OR(E8=BU16,E8=BU15),(E4-IF(OR(E13=BU38,E13=BU39),15,0)+24)/4,0))))))),0)</f>
        <v>909</v>
      </c>
      <c r="P5" s="75"/>
      <c r="Q5" s="397"/>
      <c r="AY5" s="111" t="s">
        <v>575</v>
      </c>
      <c r="AZ5" s="111"/>
      <c r="BA5" s="111"/>
      <c r="BB5" s="139">
        <v>5350</v>
      </c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</row>
    <row r="6" spans="2:87" ht="25.05" customHeight="1" thickBot="1" x14ac:dyDescent="0.35">
      <c r="B6" s="428" t="s">
        <v>546</v>
      </c>
      <c r="C6" s="429"/>
      <c r="D6" s="429"/>
      <c r="E6" s="384">
        <v>0</v>
      </c>
      <c r="F6" s="384"/>
      <c r="G6" s="384"/>
      <c r="H6" s="385"/>
      <c r="J6" s="446"/>
      <c r="K6" s="446"/>
      <c r="L6" s="446"/>
      <c r="M6" s="446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3"/>
      <c r="AX6" s="3"/>
      <c r="AY6" s="111" t="s">
        <v>576</v>
      </c>
      <c r="AZ6" s="111"/>
      <c r="BA6" s="111"/>
      <c r="BB6" s="111">
        <v>5350</v>
      </c>
      <c r="BC6" s="139"/>
      <c r="BD6" s="111"/>
      <c r="BE6" s="111"/>
      <c r="BF6" s="111"/>
      <c r="BG6" s="111"/>
      <c r="BH6" s="111"/>
      <c r="BI6" s="111"/>
      <c r="BJ6" s="111"/>
      <c r="BK6" s="111"/>
      <c r="BL6" s="139"/>
      <c r="BM6" s="139"/>
      <c r="BN6" s="139"/>
      <c r="BO6" s="139"/>
      <c r="BP6" s="139"/>
      <c r="BQ6" s="139"/>
      <c r="BU6" s="42" t="s">
        <v>95</v>
      </c>
      <c r="CC6" s="1" t="s">
        <v>451</v>
      </c>
      <c r="CD6" s="1" t="s">
        <v>237</v>
      </c>
      <c r="CE6" s="1">
        <v>2</v>
      </c>
      <c r="CI6" s="39">
        <v>0</v>
      </c>
    </row>
    <row r="7" spans="2:87" ht="25.05" customHeight="1" x14ac:dyDescent="0.3">
      <c r="B7" s="428" t="s">
        <v>122</v>
      </c>
      <c r="C7" s="429"/>
      <c r="D7" s="429"/>
      <c r="E7" s="386" t="s">
        <v>132</v>
      </c>
      <c r="F7" s="386"/>
      <c r="G7" s="386"/>
      <c r="H7" s="387"/>
      <c r="J7" s="399" t="s">
        <v>181</v>
      </c>
      <c r="K7" s="400"/>
      <c r="L7" s="400"/>
      <c r="M7" s="400"/>
      <c r="N7" s="400"/>
      <c r="O7" s="401"/>
      <c r="P7" s="259"/>
      <c r="Q7" s="202"/>
      <c r="R7" s="259"/>
      <c r="S7" s="310"/>
      <c r="T7" s="418" t="s">
        <v>100</v>
      </c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9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3" t="s">
        <v>265</v>
      </c>
      <c r="AX7" s="3"/>
      <c r="AY7" s="139" t="s">
        <v>258</v>
      </c>
      <c r="AZ7" s="139"/>
      <c r="BA7" s="139"/>
      <c r="BB7" s="111">
        <v>5350</v>
      </c>
      <c r="BC7" s="139"/>
      <c r="BD7" s="111"/>
      <c r="BE7" s="111"/>
      <c r="BF7" s="111"/>
      <c r="BG7" s="111"/>
      <c r="BH7" s="111"/>
      <c r="BI7" s="111"/>
      <c r="BJ7" s="111"/>
      <c r="BK7" s="111"/>
      <c r="BL7" s="139"/>
      <c r="BM7" s="139"/>
      <c r="BN7" s="139"/>
      <c r="BO7" s="139"/>
      <c r="BP7" s="139"/>
      <c r="BQ7" s="139"/>
      <c r="BU7" s="42" t="s">
        <v>96</v>
      </c>
      <c r="CC7" s="1" t="s">
        <v>452</v>
      </c>
      <c r="CD7" s="1" t="s">
        <v>253</v>
      </c>
      <c r="CI7" s="39">
        <v>1</v>
      </c>
    </row>
    <row r="8" spans="2:87" ht="25.05" customHeight="1" x14ac:dyDescent="0.3">
      <c r="B8" s="430" t="s">
        <v>123</v>
      </c>
      <c r="C8" s="431"/>
      <c r="D8" s="431"/>
      <c r="E8" s="388" t="s">
        <v>592</v>
      </c>
      <c r="F8" s="388"/>
      <c r="G8" s="388"/>
      <c r="H8" s="389"/>
      <c r="J8" s="308" t="s">
        <v>0</v>
      </c>
      <c r="K8" s="309" t="s">
        <v>1</v>
      </c>
      <c r="L8" s="309" t="s">
        <v>7</v>
      </c>
      <c r="M8" s="157" t="s">
        <v>267</v>
      </c>
      <c r="N8" s="157" t="s">
        <v>101</v>
      </c>
      <c r="O8" s="184" t="s">
        <v>23</v>
      </c>
      <c r="P8" s="110"/>
      <c r="Q8" s="203" t="s">
        <v>24</v>
      </c>
      <c r="R8" s="110"/>
      <c r="S8" s="254"/>
      <c r="T8" s="81">
        <v>1000</v>
      </c>
      <c r="U8" s="81">
        <v>1250</v>
      </c>
      <c r="V8" s="81">
        <v>1800</v>
      </c>
      <c r="W8" s="81">
        <v>2000</v>
      </c>
      <c r="X8" s="81">
        <v>2500</v>
      </c>
      <c r="Y8" s="81">
        <v>2700</v>
      </c>
      <c r="Z8" s="81">
        <v>3000</v>
      </c>
      <c r="AA8" s="81">
        <v>3600</v>
      </c>
      <c r="AB8" s="81">
        <v>3750</v>
      </c>
      <c r="AC8" s="81">
        <v>4000</v>
      </c>
      <c r="AD8" s="81">
        <v>5000</v>
      </c>
      <c r="AE8" s="81">
        <v>5400</v>
      </c>
      <c r="AF8" s="157" t="s">
        <v>101</v>
      </c>
      <c r="AG8" s="43" t="s">
        <v>24</v>
      </c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44"/>
      <c r="AX8" s="44"/>
      <c r="AY8" s="81">
        <v>1000</v>
      </c>
      <c r="AZ8" s="81">
        <v>1250</v>
      </c>
      <c r="BA8" s="81">
        <v>1800</v>
      </c>
      <c r="BB8" s="81">
        <v>2000</v>
      </c>
      <c r="BC8" s="81">
        <v>2500</v>
      </c>
      <c r="BD8" s="81">
        <v>2700</v>
      </c>
      <c r="BE8" s="81">
        <v>3000</v>
      </c>
      <c r="BF8" s="81">
        <v>3600</v>
      </c>
      <c r="BG8" s="81">
        <v>3750</v>
      </c>
      <c r="BH8" s="81">
        <v>4000</v>
      </c>
      <c r="BI8" s="81">
        <v>5000</v>
      </c>
      <c r="BJ8" s="112">
        <v>5400</v>
      </c>
      <c r="BK8" s="140"/>
      <c r="BL8" s="139"/>
      <c r="BM8" s="139"/>
      <c r="BN8" s="139"/>
      <c r="BO8" s="139"/>
      <c r="BP8" s="139"/>
      <c r="BQ8" s="139"/>
      <c r="BS8" s="1" t="s">
        <v>128</v>
      </c>
      <c r="BU8" s="1" t="s">
        <v>467</v>
      </c>
      <c r="CI8" s="39">
        <v>2</v>
      </c>
    </row>
    <row r="9" spans="2:87" ht="25.05" customHeight="1" x14ac:dyDescent="0.35">
      <c r="B9" s="430" t="s">
        <v>124</v>
      </c>
      <c r="C9" s="431"/>
      <c r="D9" s="431"/>
      <c r="E9" s="390">
        <f>IF(OR(E8=BU9,E8=BU7,E8=BU8),2,IF(E8=BU10,3,IF(OR(E8=BU11,E8=BU12,E8=BU13,E8=BU14),E10,IF(OR(E8=BU15,E8=BU16),4,1))))</f>
        <v>4</v>
      </c>
      <c r="F9" s="390"/>
      <c r="G9" s="390"/>
      <c r="H9" s="391"/>
      <c r="J9" s="18" t="s">
        <v>513</v>
      </c>
      <c r="K9" s="181" t="s">
        <v>534</v>
      </c>
      <c r="L9" s="98">
        <f>K4-32</f>
        <v>2486</v>
      </c>
      <c r="M9" s="99">
        <f>E9*2</f>
        <v>8</v>
      </c>
      <c r="N9" s="98"/>
      <c r="O9" s="269">
        <f>IF(L9&gt;2650,M9,M9/2)</f>
        <v>4</v>
      </c>
      <c r="P9" s="191"/>
      <c r="Q9" s="226">
        <f>O9*BS9</f>
        <v>23361.52</v>
      </c>
      <c r="R9" s="199"/>
      <c r="S9" s="322" t="str">
        <f>J9</f>
        <v>Вертикальный профиль</v>
      </c>
      <c r="T9" s="174">
        <f t="shared" ref="T9:AE10" si="0">IF($Y$3=$CD$21,AY9,IF($Y$3=$CD$27,AY33,IF($Y$3=$CD$28,AY44,AY21)))</f>
        <v>0</v>
      </c>
      <c r="U9" s="174">
        <f t="shared" si="0"/>
        <v>0</v>
      </c>
      <c r="V9" s="174">
        <f t="shared" si="0"/>
        <v>0</v>
      </c>
      <c r="W9" s="174">
        <f t="shared" si="0"/>
        <v>0</v>
      </c>
      <c r="X9" s="174">
        <f t="shared" si="0"/>
        <v>0</v>
      </c>
      <c r="Y9" s="174">
        <f t="shared" si="0"/>
        <v>0</v>
      </c>
      <c r="Z9" s="174">
        <f t="shared" si="0"/>
        <v>0</v>
      </c>
      <c r="AA9" s="174">
        <f t="shared" si="0"/>
        <v>0</v>
      </c>
      <c r="AB9" s="174">
        <f t="shared" si="0"/>
        <v>0</v>
      </c>
      <c r="AC9" s="174">
        <f t="shared" si="0"/>
        <v>0</v>
      </c>
      <c r="AD9" s="174">
        <f t="shared" si="0"/>
        <v>0</v>
      </c>
      <c r="AE9" s="174">
        <f t="shared" si="0"/>
        <v>4</v>
      </c>
      <c r="AF9" s="103"/>
      <c r="AG9" s="175">
        <f>Q9</f>
        <v>23361.52</v>
      </c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287">
        <v>0.46</v>
      </c>
      <c r="AX9" s="3">
        <f>AW9*L9*M9/1000</f>
        <v>9.1484799999999993</v>
      </c>
      <c r="AY9" s="111">
        <v>0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250">
        <f>O9</f>
        <v>4</v>
      </c>
      <c r="BK9" s="111"/>
      <c r="BL9" s="111"/>
      <c r="BM9" s="111"/>
      <c r="BN9" s="111"/>
      <c r="BO9" s="111"/>
      <c r="BP9" s="111"/>
      <c r="BQ9" s="111"/>
      <c r="BR9" s="3"/>
      <c r="BS9" s="3">
        <f t="array" ref="BS9">INDEX(Цены!J:J,MATCH(J9&amp;$E$7,Цены!C:C&amp;Цены!G:G,0))</f>
        <v>5840.38</v>
      </c>
      <c r="BT9" s="3"/>
      <c r="BU9" s="42" t="s">
        <v>97</v>
      </c>
      <c r="CD9" s="1" t="s">
        <v>455</v>
      </c>
    </row>
    <row r="10" spans="2:87" ht="25.05" customHeight="1" x14ac:dyDescent="0.3">
      <c r="B10" s="432" t="s">
        <v>262</v>
      </c>
      <c r="C10" s="433"/>
      <c r="D10" s="433"/>
      <c r="E10" s="384">
        <v>4</v>
      </c>
      <c r="F10" s="384"/>
      <c r="G10" s="384"/>
      <c r="H10" s="385"/>
      <c r="J10" s="18" t="s">
        <v>135</v>
      </c>
      <c r="K10" s="181" t="s">
        <v>535</v>
      </c>
      <c r="L10" s="98">
        <f>IF(E8=BU6,E4*2+36,
IF(OR(E8=BU7,E8=BU8),E4*2+24,
IF(OR(E8=BU9,E8=BU10,E8=BU12,E8=BU13,E8=BU14,E8=BU15,E8=BU16),E4,
IF(E8=BU11,E4+K5,0))))</f>
        <v>3600</v>
      </c>
      <c r="M10" s="99">
        <f>IF(OR(E8=BU9,E8=BU10,E8=BU15,E8=BU16),2,
IF(OR(E8=BU6,E8=BU7,E8=BU8),1,
IF(OR(E8=BU11,E8=BU12,E8=BU13,E8=BU14),E10,)))</f>
        <v>4</v>
      </c>
      <c r="N10" s="98">
        <f>L10*M10</f>
        <v>14400</v>
      </c>
      <c r="O10" s="269">
        <f>IF(E4&gt;BB5,0,BL10+IF(BK10&gt;0,1,0))</f>
        <v>4</v>
      </c>
      <c r="P10" s="191"/>
      <c r="Q10" s="226">
        <f>O10*BS10</f>
        <v>24386.12</v>
      </c>
      <c r="R10" s="199"/>
      <c r="S10" s="322" t="str">
        <f>J10</f>
        <v>Направляющая верхняя</v>
      </c>
      <c r="T10" s="174">
        <f t="shared" si="0"/>
        <v>0</v>
      </c>
      <c r="U10" s="174">
        <f t="shared" si="0"/>
        <v>0</v>
      </c>
      <c r="V10" s="174">
        <f t="shared" si="0"/>
        <v>0</v>
      </c>
      <c r="W10" s="174">
        <f t="shared" si="0"/>
        <v>0</v>
      </c>
      <c r="X10" s="174">
        <f t="shared" si="0"/>
        <v>0</v>
      </c>
      <c r="Y10" s="174">
        <f t="shared" si="0"/>
        <v>0</v>
      </c>
      <c r="Z10" s="174">
        <f t="shared" si="0"/>
        <v>0</v>
      </c>
      <c r="AA10" s="174">
        <f t="shared" si="0"/>
        <v>0</v>
      </c>
      <c r="AB10" s="174">
        <f t="shared" si="0"/>
        <v>0</v>
      </c>
      <c r="AC10" s="174">
        <f t="shared" si="0"/>
        <v>0</v>
      </c>
      <c r="AD10" s="174">
        <f t="shared" si="0"/>
        <v>4</v>
      </c>
      <c r="AE10" s="174">
        <f t="shared" si="0"/>
        <v>0</v>
      </c>
      <c r="AF10" s="355">
        <f>AT10</f>
        <v>20000</v>
      </c>
      <c r="AG10" s="315">
        <f>X10*BS10*0.5+AD10*BS10</f>
        <v>24386.12</v>
      </c>
      <c r="AH10" s="326">
        <f>T10*$T$8</f>
        <v>0</v>
      </c>
      <c r="AI10" s="326">
        <f>U10*$U$8</f>
        <v>0</v>
      </c>
      <c r="AJ10" s="326">
        <f>V10*$V$8</f>
        <v>0</v>
      </c>
      <c r="AK10" s="326">
        <f>W10*$W$8</f>
        <v>0</v>
      </c>
      <c r="AL10" s="326">
        <f>X10*$X$8</f>
        <v>0</v>
      </c>
      <c r="AM10" s="326">
        <f>Y10*$Y$8</f>
        <v>0</v>
      </c>
      <c r="AN10" s="326">
        <f>Z10*$Z$8</f>
        <v>0</v>
      </c>
      <c r="AO10" s="326">
        <f>AA10*$AA$8</f>
        <v>0</v>
      </c>
      <c r="AP10" s="326">
        <f>AB10*$AB$8</f>
        <v>0</v>
      </c>
      <c r="AQ10" s="326">
        <f>AC10*$AC$8</f>
        <v>0</v>
      </c>
      <c r="AR10" s="326">
        <f>AD10*$AD$8</f>
        <v>20000</v>
      </c>
      <c r="AS10" s="326">
        <f>AE10*$AE$8</f>
        <v>0</v>
      </c>
      <c r="AT10" s="326">
        <f>SUM(AH10:AS10)</f>
        <v>20000</v>
      </c>
      <c r="AU10" s="326"/>
      <c r="AV10" s="326"/>
      <c r="AW10" s="3"/>
      <c r="AX10" s="3"/>
      <c r="AY10" s="113">
        <v>0</v>
      </c>
      <c r="AZ10" s="113">
        <v>0</v>
      </c>
      <c r="BA10" s="113">
        <v>0</v>
      </c>
      <c r="BB10" s="113">
        <v>0</v>
      </c>
      <c r="BC10" s="111">
        <f>IF(AND(BK10&gt;0,BK10&lt;=2500),1,0)</f>
        <v>0</v>
      </c>
      <c r="BD10" s="113">
        <v>0</v>
      </c>
      <c r="BE10" s="113">
        <v>0</v>
      </c>
      <c r="BF10" s="113">
        <v>0</v>
      </c>
      <c r="BG10" s="113">
        <v>0</v>
      </c>
      <c r="BH10" s="113">
        <v>0</v>
      </c>
      <c r="BI10" s="111">
        <f>IF(AND(BK10&gt;2500,BK10&lt;=4950),BL10+1,BL10)</f>
        <v>4</v>
      </c>
      <c r="BJ10" s="113">
        <v>0</v>
      </c>
      <c r="BK10" s="139">
        <f>$N$10-INT($BB$5/$L$10)*$L$10*$BL$10</f>
        <v>0</v>
      </c>
      <c r="BL10" s="111">
        <f>IF($E$4&gt;$BB$5,0,INT($M$10/INT($BB$5/$L$10)))</f>
        <v>4</v>
      </c>
      <c r="BM10" s="111"/>
      <c r="BN10" s="111"/>
      <c r="BO10" s="111"/>
      <c r="BP10" s="111"/>
      <c r="BQ10" s="111"/>
      <c r="BR10" s="3"/>
      <c r="BS10" s="3">
        <f t="array" ref="BS10">IFERROR(INDEX(Цены!J:J,MATCH(J10&amp;$E$7,Цены!C:C&amp;Цены!G:G,0)),Цены!J33)</f>
        <v>6096.53</v>
      </c>
      <c r="BT10" s="3"/>
      <c r="BU10" s="42" t="s">
        <v>591</v>
      </c>
      <c r="CD10" s="1" t="s">
        <v>453</v>
      </c>
    </row>
    <row r="11" spans="2:87" ht="25.05" customHeight="1" x14ac:dyDescent="0.3">
      <c r="B11" s="432" t="s">
        <v>579</v>
      </c>
      <c r="C11" s="433"/>
      <c r="D11" s="433"/>
      <c r="E11" s="394" t="s">
        <v>98</v>
      </c>
      <c r="F11" s="394"/>
      <c r="G11" s="394"/>
      <c r="H11" s="395"/>
      <c r="J11" s="18" t="s">
        <v>533</v>
      </c>
      <c r="K11" s="181" t="s">
        <v>536</v>
      </c>
      <c r="L11" s="268">
        <f>IF(OR(E8=BU6,E8=BU7,E8=BU8),50,0)</f>
        <v>0</v>
      </c>
      <c r="M11" s="99">
        <f>IF(OR(E8=BU6,E8=BU7,E8=BU8),2,0)</f>
        <v>0</v>
      </c>
      <c r="N11" s="425">
        <f>L12*M12+L11*M11</f>
        <v>7200</v>
      </c>
      <c r="O11" s="421">
        <f>IF(E4&gt;BB5,0,BL12+IF(BK12&gt;0,1,0))</f>
        <v>2</v>
      </c>
      <c r="Q11" s="226"/>
      <c r="S11" s="366" t="s">
        <v>528</v>
      </c>
      <c r="T11" s="174">
        <f t="shared" ref="T11" si="1">IF($Y$3=$CD$21,AY11,IF($Y$3=$CD$27,AY35,IF($Y$3=$CD$28,AY46,AY23)))</f>
        <v>0</v>
      </c>
      <c r="U11" s="174">
        <f t="shared" ref="U11" si="2">IF($Y$3=$CD$21,AZ11,IF($Y$3=$CD$27,AZ35,IF($Y$3=$CD$28,AZ46,AZ23)))</f>
        <v>0</v>
      </c>
      <c r="V11" s="174">
        <f t="shared" ref="V11" si="3">IF($Y$3=$CD$21,BA11,IF($Y$3=$CD$27,BA35,IF($Y$3=$CD$28,BA46,BA23)))</f>
        <v>0</v>
      </c>
      <c r="W11" s="174">
        <f t="shared" ref="W11" si="4">IF($Y$3=$CD$21,BB11,IF($Y$3=$CD$27,BB35,IF($Y$3=$CD$28,BB46,BB23)))</f>
        <v>0</v>
      </c>
      <c r="X11" s="174"/>
      <c r="Y11" s="174">
        <f t="shared" ref="Y11" si="5">IF($Y$3=$CD$21,BD11,IF($Y$3=$CD$27,BD35,IF($Y$3=$CD$28,BD46,BD23)))</f>
        <v>0</v>
      </c>
      <c r="Z11" s="174">
        <f t="shared" ref="Z11" si="6">IF($Y$3=$CD$21,BE11,IF($Y$3=$CD$27,BE35,IF($Y$3=$CD$28,BE46,BE23)))</f>
        <v>0</v>
      </c>
      <c r="AA11" s="174">
        <f t="shared" ref="AA11" si="7">IF($Y$3=$CD$21,BF11,IF($Y$3=$CD$27,BF35,IF($Y$3=$CD$28,BF46,BF23)))</f>
        <v>0</v>
      </c>
      <c r="AB11" s="174">
        <f t="shared" ref="AB11" si="8">IF($Y$3=$CD$21,BG11,IF($Y$3=$CD$27,BG35,IF($Y$3=$CD$28,BG46,BG23)))</f>
        <v>0</v>
      </c>
      <c r="AC11" s="174">
        <f t="shared" ref="AC11" si="9">IF($Y$3=$CD$21,BH11,IF($Y$3=$CD$27,BH35,IF($Y$3=$CD$28,BH46,BH23)))</f>
        <v>0</v>
      </c>
      <c r="AD11" s="174"/>
      <c r="AE11" s="174">
        <f t="shared" ref="AE11" si="10">IF($Y$3=$CD$21,BJ11,IF($Y$3=$CD$27,BJ35,IF($Y$3=$CD$28,BJ46,BJ23)))</f>
        <v>0</v>
      </c>
      <c r="AF11" s="355">
        <f>AT11</f>
        <v>0</v>
      </c>
      <c r="AG11" s="315">
        <f>X11*BS11*0.5+AD11*BS11</f>
        <v>0</v>
      </c>
      <c r="AH11" s="326">
        <f>T11*$T$8</f>
        <v>0</v>
      </c>
      <c r="AI11" s="326">
        <f>U11*$U$8</f>
        <v>0</v>
      </c>
      <c r="AJ11" s="326">
        <f>V11*$V$8</f>
        <v>0</v>
      </c>
      <c r="AK11" s="326">
        <f>W11*$W$8</f>
        <v>0</v>
      </c>
      <c r="AL11" s="326">
        <f>X11*$X$8</f>
        <v>0</v>
      </c>
      <c r="AM11" s="326">
        <f>Y11*$Y$8</f>
        <v>0</v>
      </c>
      <c r="AN11" s="326">
        <f>Z11*$Z$8</f>
        <v>0</v>
      </c>
      <c r="AO11" s="326">
        <f>AA11*$AA$8</f>
        <v>0</v>
      </c>
      <c r="AP11" s="326">
        <f>AB11*$AB$8</f>
        <v>0</v>
      </c>
      <c r="AQ11" s="326">
        <f>AC11*$AC$8</f>
        <v>0</v>
      </c>
      <c r="AR11" s="326">
        <f>AD11*$AD$8</f>
        <v>0</v>
      </c>
      <c r="AS11" s="326">
        <f>AE11*$AE$8</f>
        <v>0</v>
      </c>
      <c r="AT11" s="326">
        <f>SUM(AH11:AS11)</f>
        <v>0</v>
      </c>
      <c r="AW11" s="3"/>
      <c r="AX11" s="3"/>
      <c r="AY11" s="113"/>
      <c r="AZ11" s="113"/>
      <c r="BA11" s="113"/>
      <c r="BB11" s="113"/>
      <c r="BC11" s="111"/>
      <c r="BD11" s="113"/>
      <c r="BE11" s="113"/>
      <c r="BF11" s="113"/>
      <c r="BG11" s="113"/>
      <c r="BH11" s="113"/>
      <c r="BI11" s="111"/>
      <c r="BJ11" s="113"/>
      <c r="BK11" s="139"/>
      <c r="BL11" s="111"/>
      <c r="BS11" s="1">
        <f t="array" ref="BS11">IFERROR(INDEX(Цены!J:J,MATCH(#REF!&amp;$E$7,Цены!C:C&amp;Цены!G:G,0)),Цены!J34)</f>
        <v>992.25</v>
      </c>
      <c r="BT11" s="3"/>
      <c r="BU11" s="42" t="s">
        <v>106</v>
      </c>
      <c r="CD11" s="1" t="s">
        <v>454</v>
      </c>
    </row>
    <row r="12" spans="2:87" ht="25.05" customHeight="1" x14ac:dyDescent="0.3">
      <c r="B12" s="430" t="s">
        <v>22</v>
      </c>
      <c r="C12" s="431"/>
      <c r="D12" s="431"/>
      <c r="E12" s="394" t="s">
        <v>99</v>
      </c>
      <c r="F12" s="394"/>
      <c r="G12" s="394"/>
      <c r="H12" s="395"/>
      <c r="J12" s="18" t="s">
        <v>533</v>
      </c>
      <c r="K12" s="181" t="s">
        <v>536</v>
      </c>
      <c r="L12" s="101">
        <f>L10</f>
        <v>3600</v>
      </c>
      <c r="M12" s="102">
        <f>IF(OR(E8=BU6,E8=BU7,E8=BU8),1,
IF(OR(E8=BU9,E8=BU10,E8=BU12,E8=BU13,E8=BU14,E8=BU16,E8=BU11,E8=BU15),2,))</f>
        <v>2</v>
      </c>
      <c r="N12" s="425"/>
      <c r="O12" s="421"/>
      <c r="P12" s="191"/>
      <c r="Q12" s="402"/>
      <c r="R12" s="199"/>
      <c r="S12" s="322" t="str">
        <f>J11</f>
        <v>Накладка декоративная направляющей</v>
      </c>
      <c r="T12" s="411">
        <f t="shared" ref="T12:AE12" si="11">IF($Y$3=$CD$21,AY12,IF($Y$3=$CD$27,AY36,IF($Y$3=$CD$28,AY47,AY24)))</f>
        <v>0</v>
      </c>
      <c r="U12" s="411">
        <f t="shared" si="11"/>
        <v>0</v>
      </c>
      <c r="V12" s="411">
        <f t="shared" si="11"/>
        <v>0</v>
      </c>
      <c r="W12" s="411">
        <f t="shared" si="11"/>
        <v>0</v>
      </c>
      <c r="X12" s="411">
        <f t="shared" si="11"/>
        <v>0</v>
      </c>
      <c r="Y12" s="411">
        <f t="shared" si="11"/>
        <v>0</v>
      </c>
      <c r="Z12" s="411">
        <f t="shared" si="11"/>
        <v>0</v>
      </c>
      <c r="AA12" s="411">
        <f t="shared" si="11"/>
        <v>0</v>
      </c>
      <c r="AB12" s="411">
        <f t="shared" si="11"/>
        <v>0</v>
      </c>
      <c r="AC12" s="411">
        <f t="shared" si="11"/>
        <v>0</v>
      </c>
      <c r="AD12" s="411">
        <f t="shared" si="11"/>
        <v>2</v>
      </c>
      <c r="AE12" s="411">
        <f t="shared" si="11"/>
        <v>0</v>
      </c>
      <c r="AF12" s="424">
        <f>AT12</f>
        <v>10000</v>
      </c>
      <c r="AG12" s="420" t="e">
        <f>(X12*0.5+AD12)*BS12</f>
        <v>#N/A</v>
      </c>
      <c r="AH12" s="326">
        <f>T12*$T$8</f>
        <v>0</v>
      </c>
      <c r="AI12" s="326">
        <f>U12*$U$8</f>
        <v>0</v>
      </c>
      <c r="AJ12" s="326">
        <f>V12*$V$8</f>
        <v>0</v>
      </c>
      <c r="AK12" s="326">
        <f>W12*$W$8</f>
        <v>0</v>
      </c>
      <c r="AL12" s="326">
        <f>X12*$X$8</f>
        <v>0</v>
      </c>
      <c r="AM12" s="326">
        <f>Y12*$Y$8</f>
        <v>0</v>
      </c>
      <c r="AN12" s="326">
        <f>Z12*$Z$8</f>
        <v>0</v>
      </c>
      <c r="AO12" s="326">
        <f>AA12*$AA$8</f>
        <v>0</v>
      </c>
      <c r="AP12" s="326">
        <f>AB12*$AB$8</f>
        <v>0</v>
      </c>
      <c r="AQ12" s="326">
        <f>AC12*$AC$8</f>
        <v>0</v>
      </c>
      <c r="AR12" s="326">
        <f>AD12*$AD$8</f>
        <v>10000</v>
      </c>
      <c r="AS12" s="326">
        <f>AE12*$AE$8</f>
        <v>0</v>
      </c>
      <c r="AT12" s="326">
        <f>SUM(AH12:AS12)</f>
        <v>10000</v>
      </c>
      <c r="AU12" s="326"/>
      <c r="AV12" s="326"/>
      <c r="AW12" s="3"/>
      <c r="AX12" s="3"/>
      <c r="AY12" s="113">
        <v>0</v>
      </c>
      <c r="AZ12" s="113">
        <v>0</v>
      </c>
      <c r="BA12" s="113">
        <v>0</v>
      </c>
      <c r="BB12" s="113">
        <v>0</v>
      </c>
      <c r="BC12" s="111">
        <f>IF(AND(BK12&gt;0,BK12&lt;=2500),1,0)</f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1">
        <f>IF(AND(BK12&gt;2500,BK12&lt;=5025),BL12+1,BL12)</f>
        <v>2</v>
      </c>
      <c r="BJ12" s="113">
        <v>0</v>
      </c>
      <c r="BK12" s="139">
        <f>$N$11-INT($BB$6/($L$12+$L$11*$M$11))*($L$12+$L$11*$M$11)*BL12</f>
        <v>0</v>
      </c>
      <c r="BL12" s="111">
        <f>IF($E$4&gt;$BB$6,0,INT($M$12/INT($BB$6/($L$12+$L$11*$M$11))))</f>
        <v>2</v>
      </c>
      <c r="BM12" s="111"/>
      <c r="BN12" s="111"/>
      <c r="BO12" s="111"/>
      <c r="BP12" s="111"/>
      <c r="BQ12" s="111"/>
      <c r="BR12" s="3"/>
      <c r="BS12" s="3" t="e">
        <f t="array" ref="BS12">INDEX(Цены!J:J,MATCH(J11&amp;$E$7,Цены!C:C&amp;Цены!G:G,0))</f>
        <v>#N/A</v>
      </c>
      <c r="BT12" s="3"/>
      <c r="BU12" s="42" t="s">
        <v>548</v>
      </c>
    </row>
    <row r="13" spans="2:87" ht="25.05" customHeight="1" thickBot="1" x14ac:dyDescent="0.35">
      <c r="B13" s="432" t="s">
        <v>547</v>
      </c>
      <c r="C13" s="433"/>
      <c r="D13" s="433"/>
      <c r="E13" s="394" t="s">
        <v>99</v>
      </c>
      <c r="F13" s="394"/>
      <c r="G13" s="394"/>
      <c r="H13" s="395"/>
      <c r="J13" s="18" t="s">
        <v>532</v>
      </c>
      <c r="K13" s="181" t="s">
        <v>537</v>
      </c>
      <c r="L13" s="98">
        <f>K5-24</f>
        <v>885</v>
      </c>
      <c r="M13" s="99">
        <f>E9</f>
        <v>4</v>
      </c>
      <c r="N13" s="98">
        <f>L13*M13</f>
        <v>3540</v>
      </c>
      <c r="O13" s="269">
        <f>BL14+IF(BK14&gt;0,1,0)</f>
        <v>1</v>
      </c>
      <c r="P13" s="191"/>
      <c r="Q13" s="402"/>
      <c r="R13" s="199"/>
      <c r="S13" s="322" t="str">
        <f>J12</f>
        <v>Накладка декоративная направляющей</v>
      </c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24"/>
      <c r="AG13" s="420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288">
        <v>0.80700000000000005</v>
      </c>
      <c r="AX13" s="3">
        <f>AW13*L13*M13/1000</f>
        <v>2.8567800000000001</v>
      </c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51"/>
      <c r="BL13" s="150"/>
      <c r="BM13" s="111"/>
      <c r="BN13" s="150"/>
      <c r="BO13" s="150"/>
      <c r="BP13" s="111"/>
      <c r="BQ13" s="111"/>
      <c r="BR13" s="3"/>
      <c r="BS13" s="3"/>
      <c r="BT13" s="3"/>
      <c r="BU13" s="42" t="s">
        <v>527</v>
      </c>
    </row>
    <row r="14" spans="2:87" ht="25.05" customHeight="1" x14ac:dyDescent="0.3">
      <c r="B14" s="430" t="s">
        <v>164</v>
      </c>
      <c r="C14" s="431"/>
      <c r="D14" s="431"/>
      <c r="E14" s="384" t="s">
        <v>98</v>
      </c>
      <c r="F14" s="384"/>
      <c r="G14" s="384"/>
      <c r="H14" s="385"/>
      <c r="J14" s="18" t="s">
        <v>538</v>
      </c>
      <c r="K14" s="181" t="s">
        <v>539</v>
      </c>
      <c r="L14" s="98">
        <f>L13</f>
        <v>885</v>
      </c>
      <c r="M14" s="99">
        <f>E9</f>
        <v>4</v>
      </c>
      <c r="N14" s="98">
        <f>L14*M14</f>
        <v>3540</v>
      </c>
      <c r="O14" s="269">
        <f>BL14+IF(BK14&gt;0,1,0)</f>
        <v>1</v>
      </c>
      <c r="P14" s="191"/>
      <c r="Q14" s="226"/>
      <c r="R14" s="199"/>
      <c r="S14" s="322" t="str">
        <f>J13</f>
        <v>Горизонтальный профиль</v>
      </c>
      <c r="T14" s="174">
        <f t="shared" ref="T14:AE15" si="12">IF($Y$3=$CD$21,AY14,IF($Y$3=$CD$27,AY38,IF($Y$3=$CD$28,AY49,AY26)))</f>
        <v>0</v>
      </c>
      <c r="U14" s="174">
        <f t="shared" si="12"/>
        <v>0</v>
      </c>
      <c r="V14" s="174">
        <f t="shared" si="12"/>
        <v>0</v>
      </c>
      <c r="W14" s="174">
        <f t="shared" si="12"/>
        <v>0</v>
      </c>
      <c r="X14" s="174">
        <f t="shared" si="12"/>
        <v>0</v>
      </c>
      <c r="Y14" s="174">
        <f t="shared" si="12"/>
        <v>0</v>
      </c>
      <c r="Z14" s="174">
        <f t="shared" si="12"/>
        <v>0</v>
      </c>
      <c r="AA14" s="174">
        <f t="shared" si="12"/>
        <v>0</v>
      </c>
      <c r="AB14" s="174">
        <f t="shared" si="12"/>
        <v>0</v>
      </c>
      <c r="AC14" s="174">
        <f t="shared" si="12"/>
        <v>1</v>
      </c>
      <c r="AD14" s="174">
        <f t="shared" si="12"/>
        <v>0</v>
      </c>
      <c r="AE14" s="174">
        <f t="shared" si="12"/>
        <v>0</v>
      </c>
      <c r="AF14" s="355">
        <f>AT14</f>
        <v>4000</v>
      </c>
      <c r="AG14" s="315" t="e">
        <f>(T14*0.2+U14*0.25+W14*0.4+X14*0.5+Z14*0.6+AB14*0.75+AC14*0.8+AD14)*BS14</f>
        <v>#N/A</v>
      </c>
      <c r="AH14" s="326">
        <f t="shared" ref="AH14:AH15" si="13">T14*$T$8</f>
        <v>0</v>
      </c>
      <c r="AI14" s="326">
        <f t="shared" ref="AI14:AI15" si="14">U14*$U$8</f>
        <v>0</v>
      </c>
      <c r="AJ14" s="326">
        <f t="shared" ref="AJ14:AJ15" si="15">V14*$V$8</f>
        <v>0</v>
      </c>
      <c r="AK14" s="326">
        <f t="shared" ref="AK14:AK15" si="16">W14*$W$8</f>
        <v>0</v>
      </c>
      <c r="AL14" s="326">
        <f t="shared" ref="AL14:AL15" si="17">X14*$X$8</f>
        <v>0</v>
      </c>
      <c r="AM14" s="326">
        <f t="shared" ref="AM14:AM15" si="18">Y14*$Y$8</f>
        <v>0</v>
      </c>
      <c r="AN14" s="326">
        <f t="shared" ref="AN14:AN15" si="19">Z14*$Z$8</f>
        <v>0</v>
      </c>
      <c r="AO14" s="326">
        <f t="shared" ref="AO14:AO15" si="20">AA14*$AA$8</f>
        <v>0</v>
      </c>
      <c r="AP14" s="326">
        <f t="shared" ref="AP14:AP15" si="21">AB14*$AB$8</f>
        <v>0</v>
      </c>
      <c r="AQ14" s="326">
        <f t="shared" ref="AQ14:AQ15" si="22">AC14*$AC$8</f>
        <v>4000</v>
      </c>
      <c r="AR14" s="326">
        <f t="shared" ref="AR14:AR15" si="23">AD14*$AD$8</f>
        <v>0</v>
      </c>
      <c r="AS14" s="326">
        <f t="shared" ref="AS14:AS15" si="24">AE14*$AE$8</f>
        <v>0</v>
      </c>
      <c r="AT14" s="326">
        <f t="shared" ref="AT14:AT15" si="25">SUM(AH14:AS14)</f>
        <v>4000</v>
      </c>
      <c r="AU14" s="326"/>
      <c r="AV14" s="326"/>
      <c r="AW14" s="288">
        <v>0.64600000000000002</v>
      </c>
      <c r="AX14" s="3">
        <f>AW14*L14*M14/1000</f>
        <v>2.2868400000000002</v>
      </c>
      <c r="AY14" s="111">
        <f>IF(AND(BK14&gt;0,BK14&lt;=1000),1,0)</f>
        <v>0</v>
      </c>
      <c r="AZ14" s="113">
        <v>0</v>
      </c>
      <c r="BA14" s="113">
        <v>0</v>
      </c>
      <c r="BB14" s="111">
        <f>IF(AND(BK14&gt;1000,BK14&lt;=2000),1,0)</f>
        <v>0</v>
      </c>
      <c r="BC14" s="113">
        <v>0</v>
      </c>
      <c r="BD14" s="113">
        <v>0</v>
      </c>
      <c r="BE14" s="111">
        <f>IF(AND(BK14&gt;2000,BK14&lt;=3000),1,0)</f>
        <v>0</v>
      </c>
      <c r="BF14" s="113">
        <v>0</v>
      </c>
      <c r="BG14" s="113">
        <v>0</v>
      </c>
      <c r="BH14" s="111">
        <f>IF(AND(BK14&gt;3000,BK14&lt;=4000),1,0)</f>
        <v>1</v>
      </c>
      <c r="BI14" s="111">
        <f>IF(AND(BK14&gt;4000,BK14&lt;=4950),BL14+1,BL14)</f>
        <v>0</v>
      </c>
      <c r="BJ14" s="356">
        <v>0</v>
      </c>
      <c r="BK14" s="358">
        <f>N13-INT($BB$5/L13)*L13*BL14</f>
        <v>3540</v>
      </c>
      <c r="BL14" s="359">
        <f>INT(M13/INT($BB$5/L13))</f>
        <v>0</v>
      </c>
      <c r="BM14" s="360"/>
      <c r="BN14" s="361"/>
      <c r="BO14" s="359"/>
      <c r="BP14" s="148"/>
      <c r="BQ14" s="141"/>
      <c r="BR14" s="121"/>
      <c r="BS14" s="3" t="e">
        <f t="array" ref="BS14">INDEX(Цены!J:J,MATCH(J13&amp;$E$7,Цены!C:C&amp;Цены!G:G,0))</f>
        <v>#N/A</v>
      </c>
      <c r="BT14" s="121"/>
      <c r="BU14" s="42" t="s">
        <v>592</v>
      </c>
      <c r="CD14" s="1" t="s">
        <v>173</v>
      </c>
    </row>
    <row r="15" spans="2:87" ht="25.05" customHeight="1" thickBot="1" x14ac:dyDescent="0.4">
      <c r="B15" s="430" t="s">
        <v>585</v>
      </c>
      <c r="C15" s="431"/>
      <c r="D15" s="431"/>
      <c r="E15" s="384" t="s">
        <v>99</v>
      </c>
      <c r="F15" s="384"/>
      <c r="G15" s="384"/>
      <c r="H15" s="385"/>
      <c r="J15" s="18" t="s">
        <v>540</v>
      </c>
      <c r="K15" s="181" t="s">
        <v>541</v>
      </c>
      <c r="L15" s="98">
        <f>IF(E5&gt;0,L14,0)</f>
        <v>0</v>
      </c>
      <c r="M15" s="99">
        <f>E9*E5</f>
        <v>0</v>
      </c>
      <c r="N15" s="98">
        <f>L15*M15</f>
        <v>0</v>
      </c>
      <c r="O15" s="269">
        <f>BL15+IF(BK15&gt;0,1,0)</f>
        <v>0</v>
      </c>
      <c r="P15" s="191"/>
      <c r="Q15" s="225"/>
      <c r="R15" s="199"/>
      <c r="S15" s="322" t="str">
        <f>J15</f>
        <v>Горизонтальный разделительный  профиль</v>
      </c>
      <c r="T15" s="174">
        <f t="shared" si="12"/>
        <v>0</v>
      </c>
      <c r="U15" s="174">
        <f t="shared" si="12"/>
        <v>0</v>
      </c>
      <c r="V15" s="174">
        <f t="shared" si="12"/>
        <v>0</v>
      </c>
      <c r="W15" s="174">
        <f t="shared" si="12"/>
        <v>0</v>
      </c>
      <c r="X15" s="174">
        <f t="shared" si="12"/>
        <v>0</v>
      </c>
      <c r="Y15" s="174">
        <f t="shared" si="12"/>
        <v>0</v>
      </c>
      <c r="Z15" s="174">
        <f t="shared" si="12"/>
        <v>0</v>
      </c>
      <c r="AA15" s="174">
        <f t="shared" si="12"/>
        <v>0</v>
      </c>
      <c r="AB15" s="174">
        <f t="shared" si="12"/>
        <v>0</v>
      </c>
      <c r="AC15" s="174">
        <f t="shared" si="12"/>
        <v>0</v>
      </c>
      <c r="AD15" s="174">
        <f t="shared" si="12"/>
        <v>0</v>
      </c>
      <c r="AE15" s="174">
        <f t="shared" si="12"/>
        <v>0</v>
      </c>
      <c r="AF15" s="355">
        <f>AT15</f>
        <v>0</v>
      </c>
      <c r="AG15" s="285" t="e">
        <f>IF(E6=CC6,AV16,AU16)</f>
        <v>#N/A</v>
      </c>
      <c r="AH15" s="326">
        <f t="shared" si="13"/>
        <v>0</v>
      </c>
      <c r="AI15" s="326">
        <f t="shared" si="14"/>
        <v>0</v>
      </c>
      <c r="AJ15" s="326">
        <f t="shared" si="15"/>
        <v>0</v>
      </c>
      <c r="AK15" s="326">
        <f t="shared" si="16"/>
        <v>0</v>
      </c>
      <c r="AL15" s="326">
        <f t="shared" si="17"/>
        <v>0</v>
      </c>
      <c r="AM15" s="326">
        <f t="shared" si="18"/>
        <v>0</v>
      </c>
      <c r="AN15" s="326">
        <f t="shared" si="19"/>
        <v>0</v>
      </c>
      <c r="AO15" s="326">
        <f t="shared" si="20"/>
        <v>0</v>
      </c>
      <c r="AP15" s="326">
        <f t="shared" si="21"/>
        <v>0</v>
      </c>
      <c r="AQ15" s="326">
        <f t="shared" si="22"/>
        <v>0</v>
      </c>
      <c r="AR15" s="326">
        <f t="shared" si="23"/>
        <v>0</v>
      </c>
      <c r="AS15" s="326">
        <f t="shared" si="24"/>
        <v>0</v>
      </c>
      <c r="AT15" s="326">
        <f t="shared" si="25"/>
        <v>0</v>
      </c>
      <c r="AU15" s="111" t="s">
        <v>259</v>
      </c>
      <c r="AV15" s="141" t="s">
        <v>260</v>
      </c>
      <c r="AW15" s="289">
        <v>0.47899999999999998</v>
      </c>
      <c r="AX15" s="3">
        <f>AW15*L15*M15/1000</f>
        <v>0</v>
      </c>
      <c r="AY15" s="142">
        <f>IF(AND(J15=CC7,BK15&gt;0,BK15&lt;=1000),1,0)</f>
        <v>0</v>
      </c>
      <c r="AZ15" s="113">
        <v>0</v>
      </c>
      <c r="BA15" s="143">
        <f>IF(AND(J15=CC6,BN15&gt;0,BN15&lt;=1800),1,0)</f>
        <v>0</v>
      </c>
      <c r="BB15" s="142">
        <f>IF(AND(J15=CC7,BK15&gt;1000,BK15&lt;=2000),1,0)</f>
        <v>0</v>
      </c>
      <c r="BC15" s="113">
        <v>0</v>
      </c>
      <c r="BD15" s="143">
        <f>IF(AND(J15=CC6,BN15&gt;1800,BN15&lt;=2700),1,0)</f>
        <v>0</v>
      </c>
      <c r="BE15" s="142">
        <f>IF(AND(J15=CC7,BK15&gt;2000,BK15&lt;=3000),1,0)</f>
        <v>0</v>
      </c>
      <c r="BF15" s="143">
        <f>IF(AND(J15=CC6,BN15&gt;2700,BN15&lt;=3600),1,0)</f>
        <v>0</v>
      </c>
      <c r="BG15" s="113">
        <v>0</v>
      </c>
      <c r="BH15" s="142">
        <f>IF(AND(J15=CC7,BK15&gt;3000,BK15&lt;=4000),1,0)</f>
        <v>0</v>
      </c>
      <c r="BI15" s="142">
        <f>IF(AND(J15=CC7,BK15&gt;4000,BK15&lt;=4950),BL15+1,BL15)</f>
        <v>0</v>
      </c>
      <c r="BJ15" s="357">
        <f>IF(AND(J15=CC6,BN15&gt;3600,BN15&lt;=5350),BO15+1,BO15)</f>
        <v>0</v>
      </c>
      <c r="BK15" s="362">
        <f>IF(E5&lt;&gt;0,N15-INT(BB5/L15)*L15*BL15,0)</f>
        <v>0</v>
      </c>
      <c r="BL15" s="363">
        <f>IF(E5&lt;&gt;0,INT(M15/INT(BB5/L15)),0)</f>
        <v>0</v>
      </c>
      <c r="BM15" s="364"/>
      <c r="BN15" s="365">
        <f>IF(E5&lt;&gt;0,N15-INT(BB7/L15)*L15*BO15,0)</f>
        <v>0</v>
      </c>
      <c r="BO15" s="363">
        <f>IF(AND(E6=CC6,E5&lt;&gt;0),INT(M15/INT(BB7/L15)),0)</f>
        <v>0</v>
      </c>
      <c r="BP15" s="148"/>
      <c r="BQ15" s="111"/>
      <c r="BR15" s="3"/>
      <c r="BS15" s="3" t="e">
        <f t="array" ref="BS15">INDEX(Цены!J:J,MATCH(J15&amp;$E$7,Цены!C:C&amp;Цены!G:G,0))</f>
        <v>#N/A</v>
      </c>
      <c r="BT15" s="3"/>
      <c r="BU15" s="1" t="s">
        <v>549</v>
      </c>
      <c r="CD15" s="1" t="s">
        <v>174</v>
      </c>
    </row>
    <row r="16" spans="2:87" ht="25.05" customHeight="1" thickBot="1" x14ac:dyDescent="0.4">
      <c r="B16" s="447" t="s">
        <v>468</v>
      </c>
      <c r="C16" s="448"/>
      <c r="D16" s="448"/>
      <c r="E16" s="449">
        <v>0</v>
      </c>
      <c r="F16" s="449"/>
      <c r="G16" s="449"/>
      <c r="H16" s="450"/>
      <c r="J16" s="18" t="s">
        <v>542</v>
      </c>
      <c r="K16" s="181" t="s">
        <v>543</v>
      </c>
      <c r="L16" s="98">
        <f>K4</f>
        <v>2518</v>
      </c>
      <c r="M16" s="99">
        <f>M9-M17</f>
        <v>8</v>
      </c>
      <c r="N16" s="98"/>
      <c r="O16" s="269">
        <f>IF(L16&gt;2650,M16,M16/2)</f>
        <v>4</v>
      </c>
      <c r="P16" s="189"/>
      <c r="Q16" s="108">
        <f>SUM(Q9:Q15)</f>
        <v>47747.64</v>
      </c>
      <c r="R16" s="199"/>
      <c r="S16" s="256"/>
      <c r="T16" s="422" t="s">
        <v>103</v>
      </c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3"/>
      <c r="AG16" s="108" t="e">
        <f>SUM(AG9:AG15)</f>
        <v>#N/A</v>
      </c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 t="e">
        <f>(T15*0.2+U15*0.25+W15*0.4+X15*0.5+Z15*0.6+AB15*0.75+AC15*0.8+AD15)*BS15</f>
        <v>#N/A</v>
      </c>
      <c r="AV16" s="200" t="e">
        <f>(V15*0.34+Y15*0.5+AA15*0.67+AE15)*BS15</f>
        <v>#N/A</v>
      </c>
      <c r="AW16" s="289">
        <v>0.216</v>
      </c>
      <c r="AX16" s="3">
        <f>AW16*L16*M16/1000</f>
        <v>4.3511040000000003</v>
      </c>
      <c r="BK16" s="1">
        <f>IF(E6&lt;&gt;0,N18-INT(BB5/L18)*L18*BL16,0)</f>
        <v>0</v>
      </c>
      <c r="BL16" s="1">
        <f>IF(E6&lt;&gt;0,INT(M18/INT(BB5/L18)),0)</f>
        <v>0</v>
      </c>
      <c r="BT16" s="3"/>
      <c r="BU16" s="1" t="s">
        <v>550</v>
      </c>
    </row>
    <row r="17" spans="2:82" ht="25.05" customHeight="1" thickBot="1" x14ac:dyDescent="0.4">
      <c r="J17" s="18" t="s">
        <v>585</v>
      </c>
      <c r="K17" s="181" t="s">
        <v>590</v>
      </c>
      <c r="L17" s="98">
        <f>K4</f>
        <v>2518</v>
      </c>
      <c r="M17" s="99">
        <f>IF(E15=BU23,
IF(OR(E8=BU6,E8=BU7,E8=BU11,E8=BU8),M9,
IF(E8=BU10,2,
IF(OR(E8=BU9,E8=BU15,E8=BU16),M9/2,M9-2))),0)</f>
        <v>0</v>
      </c>
      <c r="N17" s="98"/>
      <c r="O17" s="269">
        <f>IF(L17&gt;2650,M17,M17/2)</f>
        <v>0</v>
      </c>
      <c r="R17" s="200"/>
      <c r="AW17" s="289">
        <v>0.16600000000000001</v>
      </c>
      <c r="AX17" s="3">
        <f>AW17*L18*M18/1000</f>
        <v>0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</row>
    <row r="18" spans="2:82" ht="25.05" customHeight="1" thickBot="1" x14ac:dyDescent="0.35">
      <c r="J18" s="18" t="s">
        <v>544</v>
      </c>
      <c r="K18" s="181" t="s">
        <v>545</v>
      </c>
      <c r="L18" s="98">
        <f>IF(E6&gt;0,L13,0)</f>
        <v>0</v>
      </c>
      <c r="M18" s="99">
        <f>E6*E9*2</f>
        <v>0</v>
      </c>
      <c r="N18" s="98">
        <f>L18*M18</f>
        <v>0</v>
      </c>
      <c r="O18" s="269">
        <f>BL16+IF(BK16&gt;0,1,0)</f>
        <v>0</v>
      </c>
      <c r="AA18" s="398" t="s">
        <v>102</v>
      </c>
      <c r="AB18" s="398"/>
      <c r="AC18" s="398"/>
      <c r="AD18" s="398"/>
      <c r="AE18" s="398"/>
      <c r="AF18" s="398"/>
      <c r="AG18" s="207" t="e">
        <f>AG16+Q44</f>
        <v>#N/A</v>
      </c>
      <c r="AW18" s="3"/>
      <c r="AX18" s="114">
        <f>SUM(AX9:AX17)/E9</f>
        <v>4.6608010000000002</v>
      </c>
      <c r="AY18" s="3"/>
      <c r="AZ18" s="3"/>
      <c r="BA18" s="3"/>
      <c r="BB18" s="3"/>
      <c r="BC18" s="3"/>
      <c r="BD18" s="186" t="s">
        <v>424</v>
      </c>
      <c r="BE18" s="3"/>
      <c r="BF18" s="3"/>
      <c r="BG18" s="3"/>
      <c r="BH18" s="3"/>
      <c r="BI18" s="3"/>
      <c r="BJ18" s="3"/>
      <c r="BK18" s="3"/>
    </row>
    <row r="19" spans="2:82" ht="25.05" customHeight="1" thickBot="1" x14ac:dyDescent="0.35">
      <c r="B19" s="1" t="s">
        <v>466</v>
      </c>
      <c r="J19" s="9"/>
      <c r="O19" s="8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580</v>
      </c>
      <c r="J20" s="319" t="s">
        <v>180</v>
      </c>
      <c r="K20" s="259"/>
      <c r="L20" s="259"/>
      <c r="O20" s="8"/>
      <c r="P20" s="110"/>
      <c r="Q20" s="205" t="s">
        <v>24</v>
      </c>
      <c r="R20" s="110"/>
      <c r="S20" s="110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9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44"/>
      <c r="AX20" s="44"/>
      <c r="AY20" s="81">
        <v>1000</v>
      </c>
      <c r="AZ20" s="81">
        <v>1250</v>
      </c>
      <c r="BA20" s="81">
        <v>1800</v>
      </c>
      <c r="BB20" s="81">
        <v>2000</v>
      </c>
      <c r="BC20" s="81">
        <v>2500</v>
      </c>
      <c r="BD20" s="81">
        <v>2700</v>
      </c>
      <c r="BE20" s="81">
        <v>3000</v>
      </c>
      <c r="BF20" s="81">
        <v>3600</v>
      </c>
      <c r="BG20" s="81">
        <v>3750</v>
      </c>
      <c r="BH20" s="81">
        <v>4000</v>
      </c>
      <c r="BI20" s="81">
        <v>5000</v>
      </c>
      <c r="BJ20" s="112">
        <v>5400</v>
      </c>
      <c r="BK20" s="140"/>
      <c r="BL20" s="139"/>
      <c r="BM20" s="139"/>
      <c r="BN20" s="139"/>
      <c r="BO20" s="139"/>
      <c r="BP20" s="139"/>
      <c r="BQ20" s="139"/>
      <c r="BU20" s="1" t="s">
        <v>85</v>
      </c>
    </row>
    <row r="21" spans="2:82" ht="25.05" customHeight="1" x14ac:dyDescent="0.3">
      <c r="J21" s="442" t="s">
        <v>0</v>
      </c>
      <c r="K21" s="443"/>
      <c r="L21" s="443"/>
      <c r="M21" s="443"/>
      <c r="N21" s="317" t="s">
        <v>1</v>
      </c>
      <c r="O21" s="184" t="s">
        <v>8</v>
      </c>
      <c r="P21" s="192"/>
      <c r="Q21" s="206">
        <f>O22*Цены!J151</f>
        <v>19744.02</v>
      </c>
      <c r="R21" s="187"/>
      <c r="S21" s="244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44"/>
      <c r="AX21" s="44"/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250">
        <f>BJ9</f>
        <v>4</v>
      </c>
      <c r="BK21" s="111"/>
      <c r="BL21" s="111"/>
      <c r="BM21" s="111"/>
      <c r="BN21" s="111"/>
      <c r="BO21" s="111"/>
      <c r="BP21" s="111"/>
      <c r="BQ21" s="111"/>
      <c r="BR21" s="3"/>
      <c r="BS21" s="3"/>
      <c r="BU21" s="1" t="s">
        <v>86</v>
      </c>
      <c r="CD21" s="1" t="s">
        <v>418</v>
      </c>
    </row>
    <row r="22" spans="2:82" ht="25.05" customHeight="1" thickBot="1" x14ac:dyDescent="0.35">
      <c r="B22" s="46"/>
      <c r="C22" s="47"/>
      <c r="D22" s="47"/>
      <c r="E22" s="47"/>
      <c r="F22" s="47"/>
      <c r="G22" s="47"/>
      <c r="H22" s="47"/>
      <c r="J22" s="409" t="s">
        <v>551</v>
      </c>
      <c r="K22" s="410"/>
      <c r="L22" s="410"/>
      <c r="M22" s="410"/>
      <c r="N22" s="158" t="s">
        <v>553</v>
      </c>
      <c r="O22" s="178">
        <f>(E9-O45)*2-O30</f>
        <v>6</v>
      </c>
      <c r="P22" s="192"/>
      <c r="Q22" s="206">
        <f>O23*Цены!J153</f>
        <v>0</v>
      </c>
      <c r="R22" s="187"/>
      <c r="S22" s="244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330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44"/>
      <c r="AX22" s="44"/>
      <c r="AY22" s="113">
        <v>0</v>
      </c>
      <c r="AZ22" s="113">
        <v>0</v>
      </c>
      <c r="BA22" s="113">
        <v>0</v>
      </c>
      <c r="BB22" s="113">
        <v>0</v>
      </c>
      <c r="BC22" s="111">
        <f>$BC$10</f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1">
        <f>$BI$10</f>
        <v>4</v>
      </c>
      <c r="BJ22" s="113">
        <v>0</v>
      </c>
      <c r="BK22" s="139">
        <f>$BK$10</f>
        <v>0</v>
      </c>
      <c r="BL22" s="139">
        <f>$BL$10</f>
        <v>4</v>
      </c>
      <c r="BM22" s="111"/>
      <c r="BN22" s="111"/>
      <c r="BO22" s="111"/>
      <c r="BP22" s="111"/>
      <c r="BQ22" s="111"/>
      <c r="BR22" s="3"/>
      <c r="BS22" s="3"/>
      <c r="CD22" s="1" t="s">
        <v>423</v>
      </c>
    </row>
    <row r="23" spans="2:82" ht="25.05" customHeight="1" thickBot="1" x14ac:dyDescent="0.35">
      <c r="B23" s="48"/>
      <c r="C23" s="49"/>
      <c r="D23" s="49"/>
      <c r="E23" s="49"/>
      <c r="F23" s="49"/>
      <c r="G23" s="49"/>
      <c r="H23" s="50"/>
      <c r="J23" s="409" t="s">
        <v>552</v>
      </c>
      <c r="K23" s="410"/>
      <c r="L23" s="410"/>
      <c r="M23" s="410"/>
      <c r="N23" s="158" t="s">
        <v>554</v>
      </c>
      <c r="O23" s="178">
        <f>IF(OR(E8=BU6,E8=BU11,E8=BU12),1,
IF(OR(E8=BU7,E8=BU8,E8=BU9,E8=BU13,E8=BU15),2,
IF(E8=BU10,3,
IF(E8=BU16,4,
IF(E8=BU14,0,0)))))</f>
        <v>0</v>
      </c>
      <c r="P23" s="192"/>
      <c r="Q23" s="206">
        <f>O24*Цены!J159</f>
        <v>0</v>
      </c>
      <c r="R23" s="187"/>
      <c r="S23" s="24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15"/>
      <c r="AG23" s="83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44"/>
      <c r="AX23" s="44"/>
      <c r="AY23" s="113"/>
      <c r="AZ23" s="113"/>
      <c r="BA23" s="113"/>
      <c r="BB23" s="113"/>
      <c r="BC23" s="111"/>
      <c r="BD23" s="113"/>
      <c r="BE23" s="113"/>
      <c r="BF23" s="113"/>
      <c r="BG23" s="113"/>
      <c r="BH23" s="113"/>
      <c r="BI23" s="111"/>
      <c r="BJ23" s="113"/>
      <c r="BK23" s="139"/>
      <c r="BL23" s="111"/>
      <c r="BR23" s="3"/>
      <c r="BS23" s="3"/>
      <c r="BU23" s="1" t="s">
        <v>98</v>
      </c>
      <c r="CD23" s="1" t="s">
        <v>420</v>
      </c>
    </row>
    <row r="24" spans="2:82" ht="25.05" customHeight="1" thickBot="1" x14ac:dyDescent="0.35">
      <c r="B24" s="156" t="s">
        <v>107</v>
      </c>
      <c r="C24" s="52">
        <f>E5+1</f>
        <v>1</v>
      </c>
      <c r="D24" s="53" t="str">
        <f>IF(C24&gt;5,BU33,BU34)</f>
        <v xml:space="preserve"> </v>
      </c>
      <c r="E24" s="82"/>
      <c r="F24" s="82"/>
      <c r="G24" s="82"/>
      <c r="H24" s="54"/>
      <c r="J24" s="409" t="s">
        <v>73</v>
      </c>
      <c r="K24" s="410"/>
      <c r="L24" s="410"/>
      <c r="M24" s="410"/>
      <c r="N24" s="158" t="s">
        <v>555</v>
      </c>
      <c r="O24" s="178">
        <f>IF(OR(E8=BU6,E8=BU9),O22,
IF(E8=BU10,O22-2,
IF(AND(E12=BU23,O30=0,OR(E8=BU7,E8=BU8,E8=BU15,E8=BU16)),O22,
IF(AND(E12=BU23,O30&lt;&gt;0,K5&lt;900,OR(E8=BU7,E8=BU8,E8=BU15,E8=BU16)),2-IF(E8=BU15,2,0),
IF(AND(E12=BU24,OR(E8=BU7,E8=BU8,E8=BU15,E8=BU16)),O22,
IF(AND(E11=BU23,O30=0,OR(E8=BU11,E8=BU12,E8=BU13,E8=BU14)),2+IF(E8=BU13,2,0),
IF(AND(O30&lt;&gt;0,E8=BU13,K5&lt;900),1,
IF(AND(E11=BU24,O30=0,OR(E8=BU11,E8=BU12,E8=BU13,E8=BU14)),2+IF(E8=BU13,2,0),0))))))))</f>
        <v>0</v>
      </c>
      <c r="P24" s="193"/>
      <c r="Q24" s="206">
        <f>O25*Цены!J160</f>
        <v>267.44</v>
      </c>
      <c r="R24" s="187"/>
      <c r="S24" s="24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15"/>
      <c r="AG24" s="83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44"/>
      <c r="AX24" s="44"/>
      <c r="AY24" s="113">
        <v>0</v>
      </c>
      <c r="AZ24" s="113">
        <v>0</v>
      </c>
      <c r="BA24" s="113">
        <v>0</v>
      </c>
      <c r="BB24" s="113">
        <v>0</v>
      </c>
      <c r="BC24" s="111">
        <f>$BC$12</f>
        <v>0</v>
      </c>
      <c r="BD24" s="113">
        <v>0</v>
      </c>
      <c r="BE24" s="113">
        <v>0</v>
      </c>
      <c r="BF24" s="113">
        <v>0</v>
      </c>
      <c r="BG24" s="113">
        <v>0</v>
      </c>
      <c r="BH24" s="113">
        <v>0</v>
      </c>
      <c r="BI24" s="111">
        <f>$BI$12</f>
        <v>2</v>
      </c>
      <c r="BJ24" s="113">
        <v>0</v>
      </c>
      <c r="BK24" s="139">
        <f>$BK$12</f>
        <v>0</v>
      </c>
      <c r="BL24" s="139">
        <f>$BL$12</f>
        <v>2</v>
      </c>
      <c r="BM24" s="111"/>
      <c r="BN24" s="111"/>
      <c r="BO24" s="111"/>
      <c r="BP24" s="111"/>
      <c r="BQ24" s="111"/>
      <c r="BR24" s="3"/>
      <c r="BS24" s="3"/>
      <c r="BU24" s="1" t="s">
        <v>99</v>
      </c>
      <c r="CD24" s="1" t="s">
        <v>421</v>
      </c>
    </row>
    <row r="25" spans="2:82" ht="25.05" customHeight="1" x14ac:dyDescent="0.3">
      <c r="B25" s="56"/>
      <c r="C25" s="57"/>
      <c r="D25" s="57"/>
      <c r="E25" s="57"/>
      <c r="F25" s="57"/>
      <c r="G25" s="57"/>
      <c r="H25" s="58"/>
      <c r="J25" s="412" t="s">
        <v>556</v>
      </c>
      <c r="K25" s="413"/>
      <c r="L25" s="413"/>
      <c r="M25" s="413"/>
      <c r="N25" s="110" t="s">
        <v>557</v>
      </c>
      <c r="O25" s="368">
        <f>IF(AND(E11=BU23,OR(E8=BU11,E8=BU12)),1,
IF(AND(E11=BU23,E8=BU14),2,
IF(AND(E11=BU23,E8=BU13),2,E9-O45)))</f>
        <v>2</v>
      </c>
      <c r="P25" s="194"/>
      <c r="Q25" s="206">
        <f>O26*Цены!J130</f>
        <v>0</v>
      </c>
      <c r="R25" s="187"/>
      <c r="S25" s="244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330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44"/>
      <c r="AX25" s="44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39"/>
      <c r="BL25" s="139"/>
      <c r="BM25" s="111"/>
      <c r="BN25" s="111"/>
      <c r="BO25" s="111"/>
      <c r="BP25" s="111"/>
      <c r="BQ25" s="111"/>
      <c r="BR25" s="121"/>
      <c r="BS25" s="121"/>
      <c r="CD25" s="1" t="s">
        <v>422</v>
      </c>
    </row>
    <row r="26" spans="2:82" ht="25.05" customHeight="1" x14ac:dyDescent="0.3">
      <c r="B26" s="56"/>
      <c r="C26" s="57"/>
      <c r="D26" s="57"/>
      <c r="E26" s="57"/>
      <c r="F26" s="57"/>
      <c r="G26" s="57"/>
      <c r="H26" s="58"/>
      <c r="J26" s="409" t="s">
        <v>22</v>
      </c>
      <c r="K26" s="410"/>
      <c r="L26" s="410"/>
      <c r="M26" s="410"/>
      <c r="N26" s="158" t="s">
        <v>558</v>
      </c>
      <c r="O26" s="224">
        <f>IF(AND(E12=BU23,OR(E8=BU7,E8=BU8,E8=BU16,E8=BU15)),1,0)</f>
        <v>0</v>
      </c>
      <c r="P26" s="194"/>
      <c r="Q26" s="206">
        <f>O27*Цены!J131</f>
        <v>8617.56</v>
      </c>
      <c r="R26" s="187"/>
      <c r="S26" s="244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330"/>
      <c r="AG26" s="326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44"/>
      <c r="AX26" s="44"/>
      <c r="AY26" s="113">
        <v>0</v>
      </c>
      <c r="AZ26" s="111">
        <f>IF(AND(BK26&gt;0,BK26&lt;=1250),1,0)</f>
        <v>0</v>
      </c>
      <c r="BA26" s="113">
        <v>0</v>
      </c>
      <c r="BB26" s="113">
        <v>0</v>
      </c>
      <c r="BC26" s="111">
        <f>IF(AND(BK26&gt;1250,BK26&lt;=2500),1,0)</f>
        <v>0</v>
      </c>
      <c r="BD26" s="113">
        <v>0</v>
      </c>
      <c r="BE26" s="113">
        <v>0</v>
      </c>
      <c r="BF26" s="113">
        <v>0</v>
      </c>
      <c r="BG26" s="111">
        <f>IF(AND(BK26&gt;2500,BK26&lt;=3750),1,0)</f>
        <v>1</v>
      </c>
      <c r="BH26" s="113">
        <v>0</v>
      </c>
      <c r="BI26" s="111">
        <f>IF(AND(BK26&gt;3750,BK26&lt;=4950),BL26+1,BL26)</f>
        <v>0</v>
      </c>
      <c r="BJ26" s="113">
        <v>0</v>
      </c>
      <c r="BK26" s="139">
        <f>BK14</f>
        <v>3540</v>
      </c>
      <c r="BL26" s="139">
        <f>BL14</f>
        <v>0</v>
      </c>
      <c r="BM26" s="111"/>
      <c r="BN26" s="111"/>
      <c r="BO26" s="111"/>
      <c r="BP26" s="111"/>
      <c r="BQ26" s="141"/>
      <c r="BR26" s="3"/>
      <c r="BS26" s="3"/>
      <c r="CA26" s="239">
        <f>IF(E28&lt;&gt;0,1,0)</f>
        <v>1</v>
      </c>
      <c r="CD26" s="1" t="s">
        <v>419</v>
      </c>
    </row>
    <row r="27" spans="2:82" ht="25.05" customHeight="1" x14ac:dyDescent="0.3">
      <c r="B27" s="59" t="s">
        <v>108</v>
      </c>
      <c r="C27" s="262" t="s">
        <v>109</v>
      </c>
      <c r="D27" s="60" t="s">
        <v>78</v>
      </c>
      <c r="E27" s="262" t="s">
        <v>110</v>
      </c>
      <c r="F27" s="262" t="s">
        <v>111</v>
      </c>
      <c r="G27" s="262" t="s">
        <v>127</v>
      </c>
      <c r="H27" s="61" t="s">
        <v>128</v>
      </c>
      <c r="J27" s="412" t="s">
        <v>559</v>
      </c>
      <c r="K27" s="413"/>
      <c r="L27" s="413"/>
      <c r="M27" s="413"/>
      <c r="N27" s="158" t="s">
        <v>560</v>
      </c>
      <c r="O27" s="224">
        <f>IF(E11=BU24,0,
IF(E8=BU11,E10-1,
IF(OR(E8=BU13,E8=BU12,E8=BU14),E10-2,0)))</f>
        <v>2</v>
      </c>
      <c r="P27" s="195"/>
      <c r="Q27" s="206">
        <f>O28*Цены!J132</f>
        <v>0</v>
      </c>
      <c r="R27" s="187"/>
      <c r="S27" s="187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44"/>
      <c r="AX27" s="44"/>
      <c r="AY27" s="113">
        <v>0</v>
      </c>
      <c r="AZ27" s="142">
        <f>IF(AND(J15=CC7,BK27&gt;0,BK27&lt;=1250),1,0)</f>
        <v>0</v>
      </c>
      <c r="BA27" s="143">
        <f>IF(AND(J15=CC6,BN27&gt;0,BN27&lt;=1800),1,0)</f>
        <v>0</v>
      </c>
      <c r="BB27" s="113">
        <v>0</v>
      </c>
      <c r="BC27" s="142">
        <f>IF(AND(J15=CC7,BK27&gt;1250,BK27&lt;=2500),1,0)</f>
        <v>0</v>
      </c>
      <c r="BD27" s="143">
        <f>IF(AND(J15=CC6,BN27&gt;1800,BN27&lt;=2700),1,0)</f>
        <v>0</v>
      </c>
      <c r="BE27" s="113">
        <v>0</v>
      </c>
      <c r="BF27" s="143">
        <f>IF(AND(J15=CC6,BN27&gt;2700,BN27&lt;=3600),1,0)</f>
        <v>0</v>
      </c>
      <c r="BG27" s="142">
        <f>IF(AND(J15=CC7,BK27&gt;2500,BK27&lt;=3750),1,0)</f>
        <v>0</v>
      </c>
      <c r="BH27" s="113">
        <v>0</v>
      </c>
      <c r="BI27" s="142">
        <f>IF(AND(J15=CC7,BK27&gt;3750,BK27&lt;=4950),BL27+1,BL27)</f>
        <v>0</v>
      </c>
      <c r="BJ27" s="143">
        <f>IF(AND(J15=CC6,BN27&gt;3600,BN27&lt;=5350),BO27+1,BO27)</f>
        <v>0</v>
      </c>
      <c r="BK27" s="139">
        <f>BK15</f>
        <v>0</v>
      </c>
      <c r="BL27" s="139">
        <f>BL15</f>
        <v>0</v>
      </c>
      <c r="BM27" s="111"/>
      <c r="BN27" s="111">
        <f>BN15</f>
        <v>0</v>
      </c>
      <c r="BO27" s="111">
        <f>BO15</f>
        <v>0</v>
      </c>
      <c r="BP27" s="111"/>
      <c r="BQ27" s="111"/>
      <c r="BU27" s="55" t="s">
        <v>10</v>
      </c>
      <c r="CA27" s="239">
        <f>IF(E29&lt;&gt;0,1,0)</f>
        <v>0</v>
      </c>
      <c r="CD27" s="1" t="s">
        <v>520</v>
      </c>
    </row>
    <row r="28" spans="2:82" ht="25.05" customHeight="1" x14ac:dyDescent="0.3">
      <c r="B28" s="62" t="s">
        <v>112</v>
      </c>
      <c r="C28" s="11" t="s">
        <v>12</v>
      </c>
      <c r="D28" s="80">
        <v>0</v>
      </c>
      <c r="E28" s="12">
        <f>K4-IF(E32=0,0,IF(C32=BU27,E32,IF(C32=BU28,E32+2,E32+3)))
-IF(E31=0,0,IF(C31=BU27,E31,IF(C31=BU28,E31+2,E31+3)))
-IF(E30=0,0,IF(C30=BU27,E30,IF(C30=BU28,E30+2,E30+3)))
-IF(E29=0,0,IF(C29=BU27,E29,IF(C29=BU28,E29+2,E29+3)))
-33-IF(C28=BU28,2,IF(C28=BU29,3,0))-E5*CE6</f>
        <v>2482</v>
      </c>
      <c r="F28" s="63">
        <f>IF(C28=$BU$29,$K$5-11,IF(C28=$BU$28,$K$5-10,$K$5-8))</f>
        <v>898</v>
      </c>
      <c r="G28" s="64">
        <f>$E$9</f>
        <v>4</v>
      </c>
      <c r="H28" s="65">
        <f>E28*F28*D28*G28/1000000</f>
        <v>0</v>
      </c>
      <c r="J28" s="392" t="s">
        <v>561</v>
      </c>
      <c r="K28" s="393"/>
      <c r="L28" s="393"/>
      <c r="M28" s="393"/>
      <c r="N28" s="158" t="s">
        <v>562</v>
      </c>
      <c r="O28" s="178">
        <f>IF(AND(O27&gt;0,E11=BU23,OR(E8=BU11,E8=BU12,E8=BU13)),1,
IF(AND(O27&gt;0,E11=BU23,E8=BU14),0,0))</f>
        <v>0</v>
      </c>
      <c r="P28" s="194"/>
      <c r="Q28" s="206">
        <f>O29*Цены!J119</f>
        <v>0</v>
      </c>
      <c r="R28" s="187"/>
      <c r="BU28" s="55" t="s">
        <v>11</v>
      </c>
      <c r="CA28" s="239">
        <f>IF(E30&lt;&gt;0,1,0)</f>
        <v>0</v>
      </c>
      <c r="CD28" s="1" t="s">
        <v>518</v>
      </c>
    </row>
    <row r="29" spans="2:82" ht="25.05" customHeight="1" x14ac:dyDescent="0.3">
      <c r="B29" s="62" t="s">
        <v>113</v>
      </c>
      <c r="C29" s="11" t="s">
        <v>12</v>
      </c>
      <c r="D29" s="80">
        <v>0</v>
      </c>
      <c r="E29" s="13">
        <v>0</v>
      </c>
      <c r="F29" s="63">
        <f>IF(C29=$BU$29,$K$5-11,IF(C29=$BU$28,$K$5-10,$K$5-8))</f>
        <v>898</v>
      </c>
      <c r="G29" s="64">
        <f>IF(E29&lt;&gt;0,$E$9,0)</f>
        <v>0</v>
      </c>
      <c r="H29" s="65">
        <f t="shared" ref="H29:H32" si="26">E29*F29*D29*G29/1000000</f>
        <v>0</v>
      </c>
      <c r="J29" s="412" t="s">
        <v>563</v>
      </c>
      <c r="K29" s="413"/>
      <c r="L29" s="413"/>
      <c r="M29" s="413"/>
      <c r="N29" s="158" t="s">
        <v>564</v>
      </c>
      <c r="O29" s="177">
        <f>IF(E11=BU23,0,
IF(E8=BU11,E10-1,
IF(OR(E8=BU13,E8=BU12),E10-2,
IF(E8=BU14,E10-1,0))))</f>
        <v>0</v>
      </c>
      <c r="P29" s="194"/>
      <c r="Q29" s="206">
        <f>O30*Цены!J105</f>
        <v>4377.6400000000003</v>
      </c>
      <c r="R29" s="187"/>
      <c r="S29" s="187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U29" s="55" t="s">
        <v>12</v>
      </c>
      <c r="CA29" s="239">
        <f>IF(E31&lt;&gt;0,1,0)</f>
        <v>0</v>
      </c>
    </row>
    <row r="30" spans="2:82" ht="25.05" customHeight="1" x14ac:dyDescent="0.3">
      <c r="B30" s="62" t="s">
        <v>114</v>
      </c>
      <c r="C30" s="11" t="s">
        <v>12</v>
      </c>
      <c r="D30" s="80">
        <v>0</v>
      </c>
      <c r="E30" s="13">
        <v>0</v>
      </c>
      <c r="F30" s="63">
        <f>IF(C30=$BU$29,$K$5-11,IF(C30=$BU$28,$K$5-10,$K$5-8))</f>
        <v>898</v>
      </c>
      <c r="G30" s="64">
        <f>IF(E30&lt;&gt;0,$E$9,0)</f>
        <v>0</v>
      </c>
      <c r="H30" s="65">
        <f t="shared" si="26"/>
        <v>0</v>
      </c>
      <c r="J30" s="412" t="s">
        <v>164</v>
      </c>
      <c r="K30" s="413"/>
      <c r="L30" s="413"/>
      <c r="M30" s="413"/>
      <c r="N30" s="158" t="s">
        <v>565</v>
      </c>
      <c r="O30" s="177">
        <f>IF(OR(K5&lt;600,E14=BU24),0,
IF(AND(E8=BU6,K5&gt;=900),2,
IF(AND(E8=BU6,K5&gt;=600,K5&lt;900),1,
IF(AND(E12=BU24,OR(E8=BU7,E8=BU8,E8=BU15,E8=BU16),K5&gt;=900),4+IF(E8=BU16,4,0),
IF(AND(E12=BU24,OR(E8=BU7,E8=BU8,E8=BU15,E8=BU16),K5&lt;900),2+IF(E8=BU16,2,0),
IF(AND(E12=BU23,OR(E8=BU7,E8=BU8,E8=BU15,E8=BU16),K5&gt;=900),2+IF(E8=BU16,4,0),
IF(AND(E12=BU23,OR(E8=BU7,E8=BU8,E8=BU15,E8=BU16),K5&lt;900),2+IF(E8=BU16,2,0),
IF(AND(E8=BU9,K5&gt;=900),4,
IF(AND(E8=BU9,K5&gt;=600,K5&lt;900),2,
IF(AND(E8=BU10,K5&gt;=900),4,
IF(AND(E8=BU10,K5&gt;=600,K5&lt;900),3,
IF(OR(E8=BU11,E8=BU12,E8=BU13,E8=BU14),2+IF(AND(E8=BU13,K5&gt;=900),2,IF(AND(E8=BU13,K5&lt;900),1,0))))))))))))))</f>
        <v>2</v>
      </c>
      <c r="P30" s="195"/>
      <c r="Q30" s="206">
        <f>O32*Цены!J150</f>
        <v>0</v>
      </c>
      <c r="R30" s="187"/>
      <c r="S30" s="187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3"/>
      <c r="AX30" s="3"/>
      <c r="AY30" s="3"/>
      <c r="AZ30" s="3"/>
      <c r="BA30" s="3"/>
      <c r="BB30" s="3"/>
      <c r="BC30" s="3"/>
      <c r="BD30" s="186" t="s">
        <v>517</v>
      </c>
      <c r="BE30" s="3"/>
      <c r="BF30" s="3"/>
      <c r="BG30" s="3"/>
      <c r="BH30" s="3"/>
      <c r="BI30" s="3"/>
      <c r="BJ30" s="3"/>
      <c r="BK30" s="3"/>
      <c r="CA30" s="239">
        <f>IF(E32&lt;&gt;0,1,0)</f>
        <v>0</v>
      </c>
    </row>
    <row r="31" spans="2:82" ht="25.05" customHeight="1" x14ac:dyDescent="0.3">
      <c r="B31" s="62" t="s">
        <v>115</v>
      </c>
      <c r="C31" s="11" t="s">
        <v>12</v>
      </c>
      <c r="D31" s="80">
        <v>0</v>
      </c>
      <c r="E31" s="13">
        <v>0</v>
      </c>
      <c r="F31" s="63">
        <f>IF(C31=$BU$29,$K$5-11,IF(C31=$BU$28,$K$5-10,$K$5-8))</f>
        <v>898</v>
      </c>
      <c r="G31" s="64">
        <f>IF(E31&lt;&gt;0,$E$9,0)</f>
        <v>0</v>
      </c>
      <c r="H31" s="65">
        <f t="shared" si="26"/>
        <v>0</v>
      </c>
      <c r="J31" s="409" t="s">
        <v>582</v>
      </c>
      <c r="K31" s="410"/>
      <c r="L31" s="410"/>
      <c r="M31" s="410"/>
      <c r="N31" s="158" t="s">
        <v>581</v>
      </c>
      <c r="O31" s="178">
        <f>IF(E8=BU11,((E10-1)*2-1)-O27,
IF(OR(E8=BU12,E8=BU13),((E10-2)*2-1)-O27,
IF(E8=BU14,((E10-2)*2)-O27,0)))</f>
        <v>2</v>
      </c>
      <c r="P31" s="194"/>
      <c r="Q31" s="206">
        <f>O33*Цены!J109</f>
        <v>0</v>
      </c>
      <c r="R31" s="187"/>
      <c r="S31" s="187"/>
      <c r="U31" s="257"/>
      <c r="V31" s="257"/>
      <c r="W31" s="257"/>
      <c r="X31" s="257"/>
      <c r="Y31" s="25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"/>
      <c r="AX31" s="1" t="s">
        <v>264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8" t="s">
        <v>116</v>
      </c>
      <c r="C32" s="11" t="s">
        <v>12</v>
      </c>
      <c r="D32" s="80">
        <v>0</v>
      </c>
      <c r="E32" s="13">
        <v>0</v>
      </c>
      <c r="F32" s="63">
        <f>IF(C32=$BU$29,$K$5-11,IF(C32=$BU$28,$K$5-10,$K$5-8))</f>
        <v>898</v>
      </c>
      <c r="G32" s="64">
        <f>IF(E32&lt;&gt;0,$E$9,0)</f>
        <v>0</v>
      </c>
      <c r="H32" s="65">
        <f t="shared" si="26"/>
        <v>0</v>
      </c>
      <c r="J32" s="409" t="s">
        <v>63</v>
      </c>
      <c r="K32" s="410"/>
      <c r="L32" s="410"/>
      <c r="M32" s="410"/>
      <c r="N32" s="158" t="s">
        <v>566</v>
      </c>
      <c r="O32" s="178">
        <f>IF(OR(E8=BU6,E8=BU7),ROUNDUP(L10/500+1,0),0)</f>
        <v>0</v>
      </c>
      <c r="P32" s="194"/>
      <c r="Q32" s="206">
        <f>O34*Цены!J154</f>
        <v>3006.96</v>
      </c>
      <c r="R32" s="187"/>
      <c r="S32" s="187"/>
      <c r="T32" s="67"/>
      <c r="U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3"/>
      <c r="AX32" s="115">
        <f>IF(C28=$BU$27,(F28*E28/1000000)*8,IF(C28=$BU$28,(F28*E28/1000000)*6.5,(F28*E28/1000000)*11))</f>
        <v>24.517195999999998</v>
      </c>
      <c r="AY32" s="81">
        <v>1000</v>
      </c>
      <c r="AZ32" s="81">
        <v>1250</v>
      </c>
      <c r="BA32" s="81">
        <v>1800</v>
      </c>
      <c r="BB32" s="81">
        <v>2000</v>
      </c>
      <c r="BC32" s="81">
        <v>2500</v>
      </c>
      <c r="BD32" s="81">
        <v>2700</v>
      </c>
      <c r="BE32" s="81">
        <v>3000</v>
      </c>
      <c r="BF32" s="81">
        <v>3600</v>
      </c>
      <c r="BG32" s="81">
        <v>3750</v>
      </c>
      <c r="BH32" s="81">
        <v>4000</v>
      </c>
      <c r="BI32" s="81">
        <v>5000</v>
      </c>
      <c r="BJ32" s="112">
        <v>5400</v>
      </c>
      <c r="BK32" s="140"/>
      <c r="BL32" s="139"/>
      <c r="BM32" s="139"/>
      <c r="BN32" s="139"/>
      <c r="BO32" s="139"/>
      <c r="BP32" s="139"/>
      <c r="BQ32" s="139"/>
    </row>
    <row r="33" spans="2:73" ht="25.05" customHeight="1" thickBot="1" x14ac:dyDescent="0.35">
      <c r="B33" s="56"/>
      <c r="C33" s="57"/>
      <c r="D33" s="57"/>
      <c r="E33" s="451" t="s">
        <v>79</v>
      </c>
      <c r="F33" s="452"/>
      <c r="G33" s="453"/>
      <c r="H33" s="258">
        <f>SUM(H28:H32)</f>
        <v>0</v>
      </c>
      <c r="J33" s="406" t="s">
        <v>567</v>
      </c>
      <c r="K33" s="407"/>
      <c r="L33" s="407"/>
      <c r="M33" s="408"/>
      <c r="N33" s="158" t="s">
        <v>568</v>
      </c>
      <c r="O33" s="177">
        <f>IF(OR(E8=BU6,E8=BU7,E8=BU8),2,0)</f>
        <v>0</v>
      </c>
      <c r="P33" s="194"/>
      <c r="Q33" s="206">
        <f>O35*Цены!J186</f>
        <v>332.8</v>
      </c>
      <c r="R33" s="187"/>
      <c r="S33" s="18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3"/>
      <c r="AX33" s="115">
        <f>IF(C29=$BU$27,(F29*E29/1000000)*8,IF(C29=$BU$28,(F29*E29/1000000)*6.5,(F29*E29/1000000)*11))</f>
        <v>0</v>
      </c>
      <c r="AY33" s="111">
        <v>0</v>
      </c>
      <c r="AZ33" s="111">
        <v>0</v>
      </c>
      <c r="BA33" s="111">
        <v>0</v>
      </c>
      <c r="BB33" s="111">
        <v>0</v>
      </c>
      <c r="BC33" s="111">
        <v>0</v>
      </c>
      <c r="BD33" s="111">
        <v>0</v>
      </c>
      <c r="BE33" s="111">
        <v>0</v>
      </c>
      <c r="BF33" s="111">
        <v>0</v>
      </c>
      <c r="BG33" s="111">
        <v>0</v>
      </c>
      <c r="BH33" s="111">
        <v>0</v>
      </c>
      <c r="BI33" s="111">
        <v>0</v>
      </c>
      <c r="BJ33" s="250">
        <f>BJ9</f>
        <v>4</v>
      </c>
      <c r="BK33" s="111"/>
      <c r="BL33" s="111"/>
      <c r="BM33" s="111"/>
      <c r="BN33" s="111"/>
      <c r="BO33" s="111"/>
      <c r="BP33" s="111"/>
      <c r="BQ33" s="111"/>
      <c r="BU33" s="57" t="s">
        <v>117</v>
      </c>
    </row>
    <row r="34" spans="2:73" ht="25.05" customHeight="1" x14ac:dyDescent="0.3">
      <c r="B34" s="56"/>
      <c r="C34" s="70" t="str">
        <f>IF((SUM(CA26:CA30)/C24)&lt;&gt;1,BU43,BU44)</f>
        <v>Верно внесены высоты вставок</v>
      </c>
      <c r="D34" s="82">
        <f>IF(C34=BU44,1,0)</f>
        <v>1</v>
      </c>
      <c r="E34" s="82"/>
      <c r="F34" s="82"/>
      <c r="G34" s="82"/>
      <c r="H34" s="58"/>
      <c r="J34" s="406" t="s">
        <v>570</v>
      </c>
      <c r="K34" s="407"/>
      <c r="L34" s="407"/>
      <c r="M34" s="408"/>
      <c r="N34" s="158" t="s">
        <v>571</v>
      </c>
      <c r="O34" s="224">
        <f>E9</f>
        <v>4</v>
      </c>
      <c r="P34" s="196"/>
      <c r="Q34" s="206">
        <f>O36*Цены!J179</f>
        <v>0</v>
      </c>
      <c r="R34" s="187"/>
      <c r="S34" s="18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3"/>
      <c r="AX34" s="115">
        <f>IF(C30=$BU$27,(F30*E30/1000000)*8,IF(C30=$BU$28,(F30*E30/1000000)*6.5,(F30*E30/1000000)*11))</f>
        <v>0</v>
      </c>
      <c r="AY34" s="113">
        <v>0</v>
      </c>
      <c r="AZ34" s="113">
        <v>0</v>
      </c>
      <c r="BA34" s="113">
        <v>0</v>
      </c>
      <c r="BB34" s="113">
        <v>0</v>
      </c>
      <c r="BC34" s="111">
        <f>$BC$10</f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1">
        <f>$BI$10</f>
        <v>4</v>
      </c>
      <c r="BJ34" s="113">
        <v>0</v>
      </c>
      <c r="BK34" s="139">
        <f>$BK$10</f>
        <v>0</v>
      </c>
      <c r="BL34" s="139">
        <f>$BL$10</f>
        <v>4</v>
      </c>
      <c r="BM34" s="111"/>
      <c r="BN34" s="111"/>
      <c r="BO34" s="111"/>
      <c r="BP34" s="111"/>
      <c r="BQ34" s="111"/>
      <c r="BU34" s="57" t="s">
        <v>94</v>
      </c>
    </row>
    <row r="35" spans="2:73" ht="25.05" customHeight="1" x14ac:dyDescent="0.3">
      <c r="B35" s="56"/>
      <c r="C35" s="57"/>
      <c r="D35" s="57"/>
      <c r="E35" s="57"/>
      <c r="F35" s="57"/>
      <c r="G35" s="57"/>
      <c r="H35" s="58"/>
      <c r="J35" s="381" t="s">
        <v>595</v>
      </c>
      <c r="K35" s="382"/>
      <c r="L35" s="382"/>
      <c r="M35" s="383"/>
      <c r="N35" s="158" t="s">
        <v>596</v>
      </c>
      <c r="O35" s="177">
        <f>M13*4+M15*4+M14*4</f>
        <v>32</v>
      </c>
      <c r="P35" s="196"/>
      <c r="Q35" s="206">
        <f>O37*Цены!J180</f>
        <v>1241.24</v>
      </c>
      <c r="R35" s="187"/>
      <c r="S35" s="18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3"/>
      <c r="AX35" s="115">
        <f>IF(C31=$BU$27,(F31*E31/1000000)*8,IF(C31=$BU$28,(F31*E31/1000000)*6.5,(F31*E31/1000000)*11))</f>
        <v>0</v>
      </c>
      <c r="AY35" s="113"/>
      <c r="AZ35" s="113"/>
      <c r="BA35" s="113"/>
      <c r="BB35" s="113"/>
      <c r="BC35" s="111"/>
      <c r="BD35" s="113"/>
      <c r="BE35" s="113"/>
      <c r="BF35" s="113"/>
      <c r="BG35" s="113"/>
      <c r="BH35" s="113"/>
      <c r="BI35" s="111"/>
      <c r="BJ35" s="113"/>
      <c r="BK35" s="139"/>
      <c r="BL35" s="111"/>
    </row>
    <row r="36" spans="2:73" ht="25.05" customHeight="1" thickBot="1" x14ac:dyDescent="0.35">
      <c r="B36" s="9"/>
      <c r="C36" s="57"/>
      <c r="D36" s="57"/>
      <c r="E36" s="71"/>
      <c r="F36" s="71"/>
      <c r="G36" s="71"/>
      <c r="H36" s="58"/>
      <c r="J36" s="381" t="s">
        <v>82</v>
      </c>
      <c r="K36" s="382"/>
      <c r="L36" s="382"/>
      <c r="M36" s="383"/>
      <c r="N36" s="158" t="s">
        <v>254</v>
      </c>
      <c r="O36" s="179">
        <f>ROUNDUP((IF(C28=BU28,(E28+F28)*2*G28,0)
+IF(C29=BU28,(E29+F29)*2*G29,0)
+IF(C30=BU28,(E30+F30)*2*G30,0)
+IF(C31=BU28,(E31+F31)*2*G31,0)
+IF(C32=BU28,(E32+F32)*2*G32,0))/1000,0)</f>
        <v>0</v>
      </c>
      <c r="P36" s="194"/>
      <c r="Q36" s="206">
        <f>O38*Цены!J173</f>
        <v>0</v>
      </c>
      <c r="R36" s="187"/>
      <c r="S36" s="18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3"/>
      <c r="AX36" s="115">
        <f>IF(C32=$BU$27,(F32*E32/1000000)*8,IF(C32=$BU$28,(F32*E32/1000000)*6.5,(F32*E32/1000000)*11))</f>
        <v>0</v>
      </c>
      <c r="AY36" s="113">
        <v>0</v>
      </c>
      <c r="AZ36" s="113">
        <v>0</v>
      </c>
      <c r="BA36" s="113">
        <v>0</v>
      </c>
      <c r="BB36" s="113">
        <v>0</v>
      </c>
      <c r="BC36" s="111">
        <f>$BC$12</f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1">
        <f>$BI$12</f>
        <v>2</v>
      </c>
      <c r="BJ36" s="113">
        <v>0</v>
      </c>
      <c r="BK36" s="139">
        <f>$BK$12</f>
        <v>0</v>
      </c>
      <c r="BL36" s="139">
        <f>$BL$12</f>
        <v>2</v>
      </c>
      <c r="BM36" s="111"/>
      <c r="BN36" s="111"/>
      <c r="BO36" s="111"/>
      <c r="BP36" s="111"/>
      <c r="BQ36" s="111"/>
    </row>
    <row r="37" spans="2:73" ht="25.05" customHeight="1" thickBot="1" x14ac:dyDescent="0.35">
      <c r="B37" s="9"/>
      <c r="C37" s="57"/>
      <c r="D37" s="57"/>
      <c r="E37" s="57"/>
      <c r="F37" s="57"/>
      <c r="G37" s="57"/>
      <c r="H37" s="58"/>
      <c r="J37" s="381" t="s">
        <v>572</v>
      </c>
      <c r="K37" s="382"/>
      <c r="L37" s="382"/>
      <c r="M37" s="383"/>
      <c r="N37" s="158" t="s">
        <v>193</v>
      </c>
      <c r="O37" s="179">
        <f>ROUNDUP((IF(AND(E5&lt;&gt;0,C28=BU29),(E28+F28+E28)*G28,IF(AND(E5=0,C28=BU29),(E28+F28)*2*G28,0))
+IF(C29=BU29,E29*2*G29,0)
+IF(C30=BU29,E30*2*G30,0)
+IF(C31=BU29,E31*2*G31,0)
+IF(C32=BU29,(E32+F32+E32)*G32,0))/1000,0)</f>
        <v>28</v>
      </c>
      <c r="P37" s="193"/>
      <c r="Q37" s="206" t="e">
        <f>#REF!*Цены!J134</f>
        <v>#REF!</v>
      </c>
      <c r="R37" s="187"/>
      <c r="S37" s="18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3"/>
      <c r="AX37" s="116">
        <f>SUM(AX32:AX36)</f>
        <v>24.517195999999998</v>
      </c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39"/>
      <c r="BL37" s="139"/>
      <c r="BM37" s="111"/>
      <c r="BN37" s="111"/>
      <c r="BO37" s="111"/>
      <c r="BP37" s="111"/>
      <c r="BQ37" s="111"/>
      <c r="BU37" s="16" t="s">
        <v>99</v>
      </c>
    </row>
    <row r="38" spans="2:73" ht="25.05" customHeight="1" x14ac:dyDescent="0.3">
      <c r="B38" s="56"/>
      <c r="C38" s="71" t="str">
        <f>IF(AND(SUM(CA26:CA30)/C24=1,E32=0,C24&lt;&gt;1),BU47,BU48)</f>
        <v xml:space="preserve"> </v>
      </c>
      <c r="D38" s="71"/>
      <c r="E38" s="71"/>
      <c r="F38" s="71"/>
      <c r="G38" s="71"/>
      <c r="H38" s="58"/>
      <c r="J38" s="381" t="s">
        <v>574</v>
      </c>
      <c r="K38" s="382"/>
      <c r="L38" s="382"/>
      <c r="M38" s="383"/>
      <c r="N38" s="158" t="s">
        <v>573</v>
      </c>
      <c r="O38" s="179">
        <f>ROUNDUP((IF(AND(E5&lt;&gt;0,C28=BU29),F28*G28,0)
+IF(C29=BU29,F29*2*G29,0)
+IF(C30=BU29,F30*2*G30,0)
+IF(C31=BU29,F31*2*G31,0)
+IF(C32=BU29,F32*G32,0))/1000,0)</f>
        <v>0</v>
      </c>
      <c r="P38" s="197"/>
      <c r="Q38" s="206">
        <f>O39*Цены!J163</f>
        <v>0</v>
      </c>
      <c r="R38" s="187"/>
      <c r="S38" s="18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3"/>
      <c r="AX38" s="115"/>
      <c r="AY38" s="113">
        <v>0</v>
      </c>
      <c r="AZ38" s="113">
        <v>0</v>
      </c>
      <c r="BA38" s="113">
        <v>0</v>
      </c>
      <c r="BB38" s="113">
        <v>0</v>
      </c>
      <c r="BC38" s="111">
        <f>IF(AND(BK38&gt;0,BK38&lt;=2500),1,0)</f>
        <v>0</v>
      </c>
      <c r="BD38" s="113">
        <v>0</v>
      </c>
      <c r="BE38" s="113">
        <v>0</v>
      </c>
      <c r="BF38" s="113">
        <v>0</v>
      </c>
      <c r="BG38" s="113">
        <v>0</v>
      </c>
      <c r="BH38" s="113">
        <v>0</v>
      </c>
      <c r="BI38" s="111">
        <f>IF(AND(BK38&gt;2500,BK38&lt;=4950),BL38+1,BL38)</f>
        <v>1</v>
      </c>
      <c r="BJ38" s="113">
        <v>0</v>
      </c>
      <c r="BK38" s="139">
        <f>BK26</f>
        <v>3540</v>
      </c>
      <c r="BL38" s="139">
        <f>BL26</f>
        <v>0</v>
      </c>
      <c r="BM38" s="111"/>
      <c r="BN38" s="111"/>
      <c r="BO38" s="111"/>
      <c r="BP38" s="111"/>
      <c r="BQ38" s="141"/>
      <c r="BU38" s="16" t="s">
        <v>129</v>
      </c>
    </row>
    <row r="39" spans="2:73" ht="25.05" customHeight="1" x14ac:dyDescent="0.3">
      <c r="B39" s="56"/>
      <c r="C39" s="57"/>
      <c r="D39" s="57"/>
      <c r="E39" s="57"/>
      <c r="F39" s="57"/>
      <c r="G39" s="57"/>
      <c r="H39" s="58"/>
      <c r="J39" s="403" t="s">
        <v>76</v>
      </c>
      <c r="K39" s="404"/>
      <c r="L39" s="404"/>
      <c r="M39" s="405"/>
      <c r="N39" s="158" t="s">
        <v>196</v>
      </c>
      <c r="O39" s="180">
        <f>IF(E13=BU39,ROUNDUP(L9*M9/1000,0),0)</f>
        <v>0</v>
      </c>
      <c r="P39" s="197"/>
      <c r="Q39" s="206">
        <f>O40*Цены!J182</f>
        <v>0</v>
      </c>
      <c r="R39" s="187"/>
      <c r="S39" s="18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3"/>
      <c r="AX39" s="115"/>
      <c r="AY39" s="113">
        <v>0</v>
      </c>
      <c r="AZ39" s="113">
        <v>0</v>
      </c>
      <c r="BA39" s="113">
        <v>0</v>
      </c>
      <c r="BB39" s="113">
        <v>0</v>
      </c>
      <c r="BC39" s="142">
        <f>IF(AND(J15=CC7,BK39&gt;0,BK39&lt;=2500),1,0)</f>
        <v>0</v>
      </c>
      <c r="BD39" s="143">
        <f>IF(AND(J15=CC6,BN39&gt;0,BN39&lt;=2700),1,0)</f>
        <v>0</v>
      </c>
      <c r="BE39" s="113">
        <v>0</v>
      </c>
      <c r="BF39" s="113">
        <v>0</v>
      </c>
      <c r="BG39" s="113">
        <v>0</v>
      </c>
      <c r="BH39" s="113">
        <v>0</v>
      </c>
      <c r="BI39" s="142">
        <f>IF(AND(J15=CC7,BK39&gt;2500,BK39&lt;=4950),BL39+1,BL39)</f>
        <v>0</v>
      </c>
      <c r="BJ39" s="143">
        <f>IF(AND(J15=CC6,BN39&gt;2700,BN39&lt;=5350),BO39+1,BO39)</f>
        <v>0</v>
      </c>
      <c r="BK39" s="139">
        <f>BK27</f>
        <v>0</v>
      </c>
      <c r="BL39" s="139">
        <f>BL27</f>
        <v>0</v>
      </c>
      <c r="BM39" s="111"/>
      <c r="BN39" s="111">
        <f>BN27</f>
        <v>0</v>
      </c>
      <c r="BO39" s="111">
        <f>BO27</f>
        <v>0</v>
      </c>
      <c r="BP39" s="111"/>
      <c r="BQ39" s="111"/>
      <c r="BU39" s="1" t="s">
        <v>76</v>
      </c>
    </row>
    <row r="40" spans="2:73" ht="25.05" customHeight="1" x14ac:dyDescent="0.3">
      <c r="B40" s="56"/>
      <c r="C40" s="57"/>
      <c r="D40" s="57"/>
      <c r="E40" s="57"/>
      <c r="F40" s="57"/>
      <c r="G40" s="57"/>
      <c r="H40" s="58"/>
      <c r="J40" s="403" t="s">
        <v>129</v>
      </c>
      <c r="K40" s="404"/>
      <c r="L40" s="404"/>
      <c r="M40" s="405"/>
      <c r="N40" s="158" t="s">
        <v>197</v>
      </c>
      <c r="O40" s="180">
        <f>IF(E13=BU38,ROUNDUP(L9*M9/1000,0),0)</f>
        <v>0</v>
      </c>
      <c r="P40" s="195"/>
      <c r="Q40" s="206">
        <f>O100*Цены!J148</f>
        <v>0</v>
      </c>
      <c r="R40" s="187"/>
      <c r="S40" s="18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2:73" ht="25.05" customHeight="1" x14ac:dyDescent="0.3">
      <c r="B41" s="56"/>
      <c r="H41" s="8"/>
      <c r="J41" s="438" t="s">
        <v>583</v>
      </c>
      <c r="K41" s="439"/>
      <c r="L41" s="439"/>
      <c r="M41" s="440"/>
      <c r="N41" s="372" t="s">
        <v>584</v>
      </c>
      <c r="O41" s="373">
        <f>ROUNDUP(M17*L17/1000,0)</f>
        <v>0</v>
      </c>
      <c r="P41" s="195"/>
      <c r="Q41" s="206">
        <f>O44*Цены!J187</f>
        <v>0</v>
      </c>
      <c r="R41" s="187"/>
      <c r="S41" s="18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3"/>
      <c r="AX41" s="3"/>
      <c r="AY41" s="3"/>
      <c r="AZ41" s="3"/>
      <c r="BA41" s="3"/>
      <c r="BB41" s="3"/>
      <c r="BC41" s="3"/>
      <c r="BD41" s="186" t="s">
        <v>518</v>
      </c>
      <c r="BE41" s="3"/>
      <c r="BF41" s="3"/>
      <c r="BG41" s="3"/>
      <c r="BH41" s="3"/>
      <c r="BI41" s="3"/>
      <c r="BJ41" s="3"/>
      <c r="BK41" s="3"/>
    </row>
    <row r="42" spans="2:73" ht="25.05" customHeight="1" thickBot="1" x14ac:dyDescent="0.35">
      <c r="B42" s="9"/>
      <c r="H42" s="8"/>
      <c r="J42" s="438" t="s">
        <v>594</v>
      </c>
      <c r="K42" s="439"/>
      <c r="L42" s="439"/>
      <c r="M42" s="440"/>
      <c r="N42" s="372" t="s">
        <v>593</v>
      </c>
      <c r="O42" s="380">
        <f>IF(E8=BU14,1,0)</f>
        <v>1</v>
      </c>
      <c r="P42" s="195"/>
      <c r="Q42" s="206" t="e">
        <f>#REF!*Цены!J113</f>
        <v>#REF!</v>
      </c>
      <c r="R42" s="187"/>
      <c r="S42" s="18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2:73" ht="25.05" customHeight="1" thickBot="1" x14ac:dyDescent="0.35">
      <c r="B43" s="9"/>
      <c r="G43" s="260" t="s">
        <v>261</v>
      </c>
      <c r="H43" s="117">
        <f>ROUNDUP((AX18+AX37)*1.1,0)</f>
        <v>33</v>
      </c>
      <c r="J43" s="403" t="s">
        <v>161</v>
      </c>
      <c r="K43" s="404"/>
      <c r="L43" s="404"/>
      <c r="M43" s="405"/>
      <c r="N43" s="233" t="s">
        <v>198</v>
      </c>
      <c r="O43" s="178">
        <f>IF(O40&gt;0,M9*2,0)</f>
        <v>0</v>
      </c>
      <c r="P43" s="194"/>
      <c r="Q43" s="206">
        <f>O45*Цены!J169</f>
        <v>0</v>
      </c>
      <c r="R43" s="201"/>
      <c r="S43" s="201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Y43" s="81">
        <v>1000</v>
      </c>
      <c r="AZ43" s="81">
        <v>1250</v>
      </c>
      <c r="BA43" s="81">
        <v>1800</v>
      </c>
      <c r="BB43" s="81">
        <v>2000</v>
      </c>
      <c r="BC43" s="81">
        <v>2500</v>
      </c>
      <c r="BD43" s="81">
        <v>2700</v>
      </c>
      <c r="BE43" s="81">
        <v>3000</v>
      </c>
      <c r="BF43" s="81">
        <v>3600</v>
      </c>
      <c r="BG43" s="81">
        <v>3750</v>
      </c>
      <c r="BH43" s="81">
        <v>4000</v>
      </c>
      <c r="BI43" s="81">
        <v>5000</v>
      </c>
      <c r="BJ43" s="112">
        <v>5400</v>
      </c>
      <c r="BK43" s="140"/>
      <c r="BL43" s="139"/>
      <c r="BM43" s="139"/>
      <c r="BN43" s="139"/>
      <c r="BO43" s="139"/>
      <c r="BP43" s="139"/>
      <c r="BQ43" s="139"/>
      <c r="BU43" s="57" t="s">
        <v>118</v>
      </c>
    </row>
    <row r="44" spans="2:73" ht="25.05" customHeight="1" thickBot="1" x14ac:dyDescent="0.35">
      <c r="B44" s="9"/>
      <c r="H44" s="8"/>
      <c r="J44" s="374" t="s">
        <v>469</v>
      </c>
      <c r="K44" s="375"/>
      <c r="L44" s="375"/>
      <c r="M44" s="376"/>
      <c r="N44" s="182" t="s">
        <v>470</v>
      </c>
      <c r="O44" s="269">
        <f>E16</f>
        <v>0</v>
      </c>
      <c r="Q44" s="106" t="e">
        <f>SUM(Q21:Q43)</f>
        <v>#REF!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Y44" s="111">
        <v>0</v>
      </c>
      <c r="AZ44" s="111">
        <v>0</v>
      </c>
      <c r="BA44" s="111">
        <v>0</v>
      </c>
      <c r="BB44" s="111">
        <v>0</v>
      </c>
      <c r="BC44" s="111">
        <v>0</v>
      </c>
      <c r="BD44" s="111">
        <v>0</v>
      </c>
      <c r="BE44" s="111">
        <v>0</v>
      </c>
      <c r="BF44" s="111">
        <v>0</v>
      </c>
      <c r="BG44" s="111">
        <v>0</v>
      </c>
      <c r="BH44" s="111">
        <v>0</v>
      </c>
      <c r="BI44" s="111">
        <v>0</v>
      </c>
      <c r="BJ44" s="250">
        <f>BJ9</f>
        <v>4</v>
      </c>
      <c r="BK44" s="111"/>
      <c r="BL44" s="111"/>
      <c r="BM44" s="111"/>
      <c r="BN44" s="111"/>
      <c r="BO44" s="111"/>
      <c r="BP44" s="111"/>
      <c r="BQ44" s="111"/>
      <c r="BU44" s="57" t="s">
        <v>119</v>
      </c>
    </row>
    <row r="45" spans="2:73" ht="25.05" customHeight="1" thickBot="1" x14ac:dyDescent="0.35">
      <c r="B45" s="10"/>
      <c r="C45" s="120"/>
      <c r="D45" s="120"/>
      <c r="E45" s="120"/>
      <c r="F45" s="120"/>
      <c r="G45" s="120"/>
      <c r="H45" s="109"/>
      <c r="J45" s="377" t="s">
        <v>577</v>
      </c>
      <c r="K45" s="378"/>
      <c r="L45" s="378"/>
      <c r="M45" s="379"/>
      <c r="N45" s="344" t="s">
        <v>578</v>
      </c>
      <c r="O45" s="369">
        <f>IF(E8=BU12,1,IF(E8=BU15,2,0))</f>
        <v>0</v>
      </c>
      <c r="P45" s="198"/>
      <c r="R45" s="201"/>
      <c r="S45" s="201"/>
      <c r="AY45" s="113">
        <v>0</v>
      </c>
      <c r="AZ45" s="113">
        <v>0</v>
      </c>
      <c r="BA45" s="113">
        <v>0</v>
      </c>
      <c r="BB45" s="113">
        <v>0</v>
      </c>
      <c r="BC45" s="111">
        <f>$BC$10</f>
        <v>0</v>
      </c>
      <c r="BD45" s="113">
        <v>0</v>
      </c>
      <c r="BE45" s="113">
        <v>0</v>
      </c>
      <c r="BF45" s="113">
        <v>0</v>
      </c>
      <c r="BG45" s="113">
        <v>0</v>
      </c>
      <c r="BH45" s="113">
        <v>0</v>
      </c>
      <c r="BI45" s="111">
        <f>$BI$10</f>
        <v>4</v>
      </c>
      <c r="BJ45" s="113">
        <v>0</v>
      </c>
      <c r="BK45" s="139">
        <f>$BK$10</f>
        <v>0</v>
      </c>
      <c r="BL45" s="139">
        <f>$BL$10</f>
        <v>4</v>
      </c>
      <c r="BM45" s="111"/>
      <c r="BN45" s="111"/>
      <c r="BO45" s="111"/>
      <c r="BP45" s="111"/>
      <c r="BQ45" s="111"/>
    </row>
    <row r="46" spans="2:73" ht="25.05" customHeight="1" thickBot="1" x14ac:dyDescent="0.35">
      <c r="K46" s="257"/>
      <c r="Q46" s="106" t="e">
        <f>Q16+Q44+H33</f>
        <v>#REF!</v>
      </c>
      <c r="S46" s="398" t="s">
        <v>521</v>
      </c>
      <c r="T46" s="398"/>
      <c r="U46" s="398"/>
      <c r="V46" s="398"/>
      <c r="AW46" s="74"/>
      <c r="AX46" s="74"/>
      <c r="AY46" s="113"/>
      <c r="AZ46" s="113"/>
      <c r="BA46" s="113"/>
      <c r="BB46" s="113"/>
      <c r="BC46" s="111"/>
      <c r="BD46" s="113"/>
      <c r="BE46" s="113"/>
      <c r="BF46" s="113"/>
      <c r="BG46" s="113"/>
      <c r="BH46" s="113"/>
      <c r="BI46" s="111"/>
      <c r="BJ46" s="113"/>
      <c r="BK46" s="139"/>
      <c r="BL46" s="111"/>
    </row>
    <row r="47" spans="2:73" ht="25.05" customHeight="1" x14ac:dyDescent="0.35">
      <c r="AW47" s="75"/>
      <c r="AX47" s="75"/>
      <c r="AY47" s="113">
        <v>0</v>
      </c>
      <c r="AZ47" s="113">
        <v>0</v>
      </c>
      <c r="BA47" s="113">
        <v>0</v>
      </c>
      <c r="BB47" s="113">
        <v>0</v>
      </c>
      <c r="BC47" s="111">
        <f>$BC$12</f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1">
        <f>$BI$12</f>
        <v>2</v>
      </c>
      <c r="BJ47" s="113">
        <v>0</v>
      </c>
      <c r="BK47" s="139">
        <f>$BK$12</f>
        <v>0</v>
      </c>
      <c r="BL47" s="139">
        <f>$BL$12</f>
        <v>2</v>
      </c>
      <c r="BM47" s="111"/>
      <c r="BN47" s="111"/>
      <c r="BO47" s="111"/>
      <c r="BP47" s="111"/>
      <c r="BQ47" s="111"/>
      <c r="BU47" s="73" t="s">
        <v>126</v>
      </c>
    </row>
    <row r="48" spans="2:73" ht="30" customHeight="1" x14ac:dyDescent="0.3"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39"/>
      <c r="BL48" s="139"/>
      <c r="BM48" s="111"/>
      <c r="BN48" s="111"/>
      <c r="BO48" s="111"/>
      <c r="BP48" s="111"/>
      <c r="BQ48" s="111"/>
      <c r="BU48" s="1" t="s">
        <v>94</v>
      </c>
    </row>
    <row r="49" spans="20:78" ht="30" customHeight="1" x14ac:dyDescent="0.3">
      <c r="T49" s="74"/>
      <c r="U49" s="74"/>
      <c r="V49" s="74"/>
      <c r="W49" s="74"/>
      <c r="X49" s="74"/>
      <c r="Y49" s="74"/>
      <c r="AY49" s="113">
        <v>0</v>
      </c>
      <c r="AZ49" s="113">
        <v>0</v>
      </c>
      <c r="BA49" s="113">
        <v>0</v>
      </c>
      <c r="BB49" s="113">
        <v>0</v>
      </c>
      <c r="BC49" s="111">
        <f>IF(AND(BK49&gt;0,BK49&lt;=2500),1,0)</f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1">
        <f>IF(AND(BK49&gt;2500,BK49&lt;=4950),BL49+1,BL49)</f>
        <v>1</v>
      </c>
      <c r="BJ49" s="113">
        <v>0</v>
      </c>
      <c r="BK49" s="139">
        <f>BK38</f>
        <v>3540</v>
      </c>
      <c r="BL49" s="139">
        <f>BL38</f>
        <v>0</v>
      </c>
      <c r="BM49" s="111"/>
      <c r="BN49" s="111"/>
      <c r="BO49" s="111"/>
      <c r="BP49" s="111"/>
      <c r="BQ49" s="141"/>
    </row>
    <row r="50" spans="20:78" ht="30" customHeight="1" x14ac:dyDescent="0.3">
      <c r="AY50" s="113">
        <v>0</v>
      </c>
      <c r="AZ50" s="113">
        <v>0</v>
      </c>
      <c r="BA50" s="143">
        <f>IF(AND(J15=CC6,BN50&gt;0,BN50&lt;=1800),1,0)</f>
        <v>0</v>
      </c>
      <c r="BB50" s="113">
        <v>0</v>
      </c>
      <c r="BC50" s="142">
        <f>IF(AND(J15=CC7,BK50&gt;0,BK50&lt;=2500),1,0)</f>
        <v>0</v>
      </c>
      <c r="BD50" s="143">
        <f>IF(AND(J15=CC6,BN50&gt;1800,BN50&lt;=2700),1,0)</f>
        <v>0</v>
      </c>
      <c r="BE50" s="113">
        <v>0</v>
      </c>
      <c r="BF50" s="143">
        <f>IF(AND(J15=CC6,BN50&gt;2700,BN50&lt;=3600),1,0)</f>
        <v>0</v>
      </c>
      <c r="BG50" s="113">
        <v>0</v>
      </c>
      <c r="BH50" s="113">
        <v>0</v>
      </c>
      <c r="BI50" s="142">
        <f>IF(AND(J15=CC7,BK50&gt;2500,BK50&lt;=4950),BL50+1,BL50)</f>
        <v>0</v>
      </c>
      <c r="BJ50" s="143">
        <f>IF(AND(J15=CC6,BN50&gt;3600,BN50&lt;=5350),BO50+1,BO50)</f>
        <v>0</v>
      </c>
      <c r="BK50" s="139">
        <f>BK39</f>
        <v>0</v>
      </c>
      <c r="BL50" s="139">
        <f>BL39</f>
        <v>0</v>
      </c>
      <c r="BM50" s="139"/>
      <c r="BN50" s="139">
        <f>BN39</f>
        <v>0</v>
      </c>
      <c r="BO50" s="139">
        <f>BO39</f>
        <v>0</v>
      </c>
      <c r="BP50" s="111"/>
      <c r="BQ50" s="111"/>
      <c r="BU50" s="30" t="str">
        <f>Цены!G6</f>
        <v>Серебро матовое</v>
      </c>
    </row>
    <row r="51" spans="20:78" x14ac:dyDescent="0.3">
      <c r="BU51" s="30" t="str">
        <f>Цены!G7</f>
        <v>Черный матовый</v>
      </c>
    </row>
    <row r="52" spans="20:78" x14ac:dyDescent="0.3">
      <c r="BU52" s="30" t="str">
        <f>Цены!G8</f>
        <v>Слоновая кость</v>
      </c>
    </row>
    <row r="53" spans="20:78" x14ac:dyDescent="0.3">
      <c r="BU53" s="30" t="str">
        <f>Цены!G9</f>
        <v>Белый матовый</v>
      </c>
    </row>
    <row r="54" spans="20:78" x14ac:dyDescent="0.3">
      <c r="BU54" s="30" t="str">
        <f>Цены!G10</f>
        <v xml:space="preserve">Венге темный </v>
      </c>
    </row>
    <row r="55" spans="20:78" x14ac:dyDescent="0.3">
      <c r="BU55" s="30" t="str">
        <f>Цены!G11</f>
        <v>Дуб белый</v>
      </c>
    </row>
    <row r="56" spans="20:78" x14ac:dyDescent="0.3">
      <c r="BU56" s="30" t="str">
        <f>Цены!G12</f>
        <v xml:space="preserve"> медь античная*</v>
      </c>
    </row>
    <row r="57" spans="20:78" x14ac:dyDescent="0.3">
      <c r="BU57" s="30" t="str">
        <f>Цены!G13</f>
        <v>сталь воронёная</v>
      </c>
    </row>
    <row r="58" spans="20:78" x14ac:dyDescent="0.3">
      <c r="BU58" s="30" t="str">
        <f>Цены!G14</f>
        <v>золото матовое</v>
      </c>
      <c r="BZ58" s="1" t="s">
        <v>471</v>
      </c>
    </row>
    <row r="59" spans="20:78" x14ac:dyDescent="0.3">
      <c r="BU59" s="30" t="str">
        <f>Цены!G15</f>
        <v>антрацит</v>
      </c>
      <c r="BZ59" s="1" t="s">
        <v>473</v>
      </c>
    </row>
    <row r="60" spans="20:78" x14ac:dyDescent="0.3">
      <c r="BU60" s="30" t="str">
        <f>Цены!G16</f>
        <v>кварц бронзовый*</v>
      </c>
      <c r="BZ60" s="1" t="s">
        <v>472</v>
      </c>
    </row>
    <row r="61" spans="20:78" x14ac:dyDescent="0.3">
      <c r="BU61" s="30" t="str">
        <f>Цены!G17</f>
        <v>жемчуг серый*</v>
      </c>
      <c r="BZ61" s="1" t="s">
        <v>474</v>
      </c>
    </row>
    <row r="62" spans="20:78" x14ac:dyDescent="0.3">
      <c r="BU62" s="30" t="str">
        <f>Цены!G18</f>
        <v>жемчуг розовый*</v>
      </c>
      <c r="BZ62" s="1" t="s">
        <v>475</v>
      </c>
    </row>
    <row r="63" spans="20:78" x14ac:dyDescent="0.3">
      <c r="BU63" s="30"/>
    </row>
    <row r="67" spans="73:75" x14ac:dyDescent="0.3">
      <c r="BU67" s="1" t="s">
        <v>177</v>
      </c>
    </row>
    <row r="68" spans="73:75" x14ac:dyDescent="0.3">
      <c r="BU68" s="1" t="s">
        <v>174</v>
      </c>
    </row>
    <row r="73" spans="73:75" ht="15.6" x14ac:dyDescent="0.3">
      <c r="BW73" s="39">
        <v>0</v>
      </c>
    </row>
    <row r="74" spans="73:75" ht="15.6" x14ac:dyDescent="0.3">
      <c r="BW74" s="39">
        <v>1</v>
      </c>
    </row>
    <row r="75" spans="73:75" ht="15.6" x14ac:dyDescent="0.3">
      <c r="BW75" s="39">
        <v>2</v>
      </c>
    </row>
    <row r="76" spans="73:75" ht="15.6" x14ac:dyDescent="0.3">
      <c r="BW76" s="39">
        <v>3</v>
      </c>
    </row>
    <row r="77" spans="73:75" ht="15.6" x14ac:dyDescent="0.3">
      <c r="BW77" s="39">
        <v>4</v>
      </c>
    </row>
    <row r="78" spans="73:75" ht="15.6" x14ac:dyDescent="0.3">
      <c r="BW78" s="39">
        <v>5</v>
      </c>
    </row>
    <row r="83" spans="16:73" x14ac:dyDescent="0.3">
      <c r="BU83" s="1" t="s">
        <v>175</v>
      </c>
    </row>
    <row r="84" spans="16:73" x14ac:dyDescent="0.3">
      <c r="BU84" s="1" t="s">
        <v>174</v>
      </c>
    </row>
    <row r="92" spans="16:73" ht="15.6" x14ac:dyDescent="0.3">
      <c r="P92" s="195"/>
      <c r="Q92" s="206">
        <f>O43*Цены!J178</f>
        <v>0</v>
      </c>
    </row>
    <row r="99" spans="2:15" ht="18" x14ac:dyDescent="0.3">
      <c r="B99" s="146"/>
      <c r="D99" s="354"/>
      <c r="K99" s="354"/>
    </row>
    <row r="100" spans="2:15" ht="18" hidden="1" x14ac:dyDescent="0.3">
      <c r="B100" s="432" t="s">
        <v>169</v>
      </c>
      <c r="C100" s="433"/>
      <c r="D100" s="433"/>
      <c r="E100" s="384">
        <v>0</v>
      </c>
      <c r="F100" s="384"/>
      <c r="G100" s="384"/>
      <c r="H100" s="385"/>
      <c r="J100" s="403" t="s">
        <v>162</v>
      </c>
      <c r="K100" s="404"/>
      <c r="L100" s="404"/>
      <c r="M100" s="405"/>
      <c r="N100" s="158" t="s">
        <v>569</v>
      </c>
      <c r="O100" s="178">
        <f>E100</f>
        <v>0</v>
      </c>
    </row>
    <row r="150" spans="2:7" ht="18" x14ac:dyDescent="0.3">
      <c r="B150" s="291"/>
      <c r="C150" s="291"/>
      <c r="G150" s="41"/>
    </row>
  </sheetData>
  <sheetProtection algorithmName="SHA-512" hashValue="68voMxo0Lcfo5MMa9Yfb40LfpyydIgswx4HNmfnE0dJR5Ab6KyYSzqwm8nxmfOqbpLCumAUz7b4yckViCOr3Lw==" saltValue="m9Pn7JaX2T4wQCMIRhiKWg==" spinCount="100000" sheet="1" selectLockedCells="1"/>
  <mergeCells count="84">
    <mergeCell ref="J42:M42"/>
    <mergeCell ref="J41:M41"/>
    <mergeCell ref="B15:D15"/>
    <mergeCell ref="E15:H15"/>
    <mergeCell ref="J1:O1"/>
    <mergeCell ref="J21:M21"/>
    <mergeCell ref="J22:M22"/>
    <mergeCell ref="J23:M23"/>
    <mergeCell ref="J3:K3"/>
    <mergeCell ref="J6:M6"/>
    <mergeCell ref="B1:H1"/>
    <mergeCell ref="B16:D16"/>
    <mergeCell ref="E16:H16"/>
    <mergeCell ref="E33:G33"/>
    <mergeCell ref="B12:D12"/>
    <mergeCell ref="B13:D13"/>
    <mergeCell ref="E100:H10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4:D14"/>
    <mergeCell ref="E12:H12"/>
    <mergeCell ref="B100:D100"/>
    <mergeCell ref="V3:X3"/>
    <mergeCell ref="Y3:Z3"/>
    <mergeCell ref="J30:M30"/>
    <mergeCell ref="J29:M29"/>
    <mergeCell ref="T7:AG7"/>
    <mergeCell ref="AG12:AG13"/>
    <mergeCell ref="O11:O12"/>
    <mergeCell ref="X12:X13"/>
    <mergeCell ref="AB12:AB13"/>
    <mergeCell ref="AA18:AF18"/>
    <mergeCell ref="T16:AF16"/>
    <mergeCell ref="Z12:Z13"/>
    <mergeCell ref="AC12:AC13"/>
    <mergeCell ref="AD12:AD13"/>
    <mergeCell ref="AF12:AF13"/>
    <mergeCell ref="N11:N12"/>
    <mergeCell ref="AA12:AA13"/>
    <mergeCell ref="AE12:AE13"/>
    <mergeCell ref="T12:T13"/>
    <mergeCell ref="W12:W13"/>
    <mergeCell ref="V12:V13"/>
    <mergeCell ref="Y12:Y13"/>
    <mergeCell ref="Q4:Q5"/>
    <mergeCell ref="S46:V46"/>
    <mergeCell ref="J7:O7"/>
    <mergeCell ref="Q12:Q13"/>
    <mergeCell ref="J100:M100"/>
    <mergeCell ref="J33:M33"/>
    <mergeCell ref="J36:M36"/>
    <mergeCell ref="J37:M37"/>
    <mergeCell ref="J38:M38"/>
    <mergeCell ref="J32:M32"/>
    <mergeCell ref="J43:M43"/>
    <mergeCell ref="J39:M39"/>
    <mergeCell ref="J40:M40"/>
    <mergeCell ref="U12:U13"/>
    <mergeCell ref="J31:M31"/>
    <mergeCell ref="J34:M34"/>
    <mergeCell ref="J35:M35"/>
    <mergeCell ref="E6:H6"/>
    <mergeCell ref="E7:H7"/>
    <mergeCell ref="E8:H8"/>
    <mergeCell ref="E9:H9"/>
    <mergeCell ref="E10:H10"/>
    <mergeCell ref="E14:H14"/>
    <mergeCell ref="J28:M28"/>
    <mergeCell ref="E11:H11"/>
    <mergeCell ref="E13:H13"/>
    <mergeCell ref="J27:M27"/>
    <mergeCell ref="J26:M26"/>
    <mergeCell ref="J24:M24"/>
    <mergeCell ref="J25:M25"/>
  </mergeCells>
  <conditionalFormatting sqref="C34">
    <cfRule type="expression" dxfId="133" priority="1155">
      <formula>$C$34=$BU$43</formula>
    </cfRule>
    <cfRule type="expression" dxfId="132" priority="1156">
      <formula>$C$34=$BU$44</formula>
    </cfRule>
  </conditionalFormatting>
  <conditionalFormatting sqref="C38">
    <cfRule type="expression" dxfId="131" priority="1157">
      <formula>$C$38=$BU$47</formula>
    </cfRule>
  </conditionalFormatting>
  <conditionalFormatting sqref="D24:G24">
    <cfRule type="expression" dxfId="130" priority="1154">
      <formula>$D$24=$AF$40</formula>
    </cfRule>
  </conditionalFormatting>
  <conditionalFormatting sqref="E8">
    <cfRule type="cellIs" dxfId="129" priority="106" operator="greaterThan">
      <formula>0</formula>
    </cfRule>
  </conditionalFormatting>
  <conditionalFormatting sqref="E9">
    <cfRule type="expression" dxfId="128" priority="1179">
      <formula>OR($E$8=$BU$11,$E$8=$BU$12,$E$8=$BU$13,$E$8=$BU$14)</formula>
    </cfRule>
  </conditionalFormatting>
  <conditionalFormatting sqref="E10">
    <cfRule type="expression" dxfId="127" priority="1184">
      <formula>AND($E$8=$BU$12,$E$10&lt;3)</formula>
    </cfRule>
    <cfRule type="expression" dxfId="126" priority="1185">
      <formula>OR($E$8=$BU$6,$E$8=$BU$7,$E$8=$BU$8,$E$8=$BU$9,$E$8=$BU$15,$E$8=$BU$16,$E$8=$BU$10)</formula>
    </cfRule>
  </conditionalFormatting>
  <conditionalFormatting sqref="E14:E16">
    <cfRule type="cellIs" dxfId="125" priority="1" operator="greaterThan">
      <formula>0</formula>
    </cfRule>
  </conditionalFormatting>
  <conditionalFormatting sqref="E100">
    <cfRule type="cellIs" dxfId="124" priority="80" operator="greaterThan">
      <formula>0</formula>
    </cfRule>
  </conditionalFormatting>
  <conditionalFormatting sqref="E4:H4">
    <cfRule type="expression" dxfId="123" priority="37">
      <formula>$E$4&gt;5000</formula>
    </cfRule>
  </conditionalFormatting>
  <conditionalFormatting sqref="E10:H10">
    <cfRule type="expression" dxfId="122" priority="1182">
      <formula>AND($E$8=$BU$13,$E$10&lt;3)</formula>
    </cfRule>
  </conditionalFormatting>
  <conditionalFormatting sqref="E11:H11">
    <cfRule type="expression" dxfId="121" priority="1183">
      <formula>AND(OR($E$8=$BU$11,$E$8=$BU$12,$E$8=$BU$13,$E$8=$BU$14),$E$11=$BU$24)</formula>
    </cfRule>
  </conditionalFormatting>
  <conditionalFormatting sqref="H43">
    <cfRule type="expression" dxfId="120" priority="38">
      <formula>$H$43&gt;60</formula>
    </cfRule>
  </conditionalFormatting>
  <conditionalFormatting sqref="K4">
    <cfRule type="expression" dxfId="119" priority="44">
      <formula>$K$4&gt;3200</formula>
    </cfRule>
  </conditionalFormatting>
  <conditionalFormatting sqref="K5">
    <cfRule type="expression" dxfId="118" priority="386">
      <formula>AND(OR($K$5&lt;500,$K$5&gt;1200),$E$4&gt;0)</formula>
    </cfRule>
  </conditionalFormatting>
  <conditionalFormatting sqref="L13:O14">
    <cfRule type="expression" dxfId="117" priority="9">
      <formula>$E$4=0</formula>
    </cfRule>
  </conditionalFormatting>
  <conditionalFormatting sqref="L16:O18">
    <cfRule type="expression" dxfId="116" priority="2">
      <formula>$E$4=0</formula>
    </cfRule>
  </conditionalFormatting>
  <conditionalFormatting sqref="O22:O40">
    <cfRule type="expression" dxfId="115" priority="3">
      <formula>$E$4=0</formula>
    </cfRule>
  </conditionalFormatting>
  <conditionalFormatting sqref="O45">
    <cfRule type="expression" dxfId="114" priority="5">
      <formula>$E$4=0</formula>
    </cfRule>
  </conditionalFormatting>
  <conditionalFormatting sqref="R9:AO9 R10:AU10 T11:AT11 T14:AG14 R15:AG15 K4:K5 L9:P10 AV9:AV10 N11:O11 L12:M12 P12 R12 AF12:AV12 S12:S14 AH13:AT15 P14 R14 L15:P15 R16:S16 R17 R21:R31 P21:P43 E28 F28:H32 R32:S43 H33 O43 R45:S45 P92 O100">
    <cfRule type="expression" dxfId="113" priority="367">
      <formula>$E$4=0</formula>
    </cfRule>
  </conditionalFormatting>
  <conditionalFormatting sqref="T9:AE15">
    <cfRule type="cellIs" dxfId="112" priority="70" operator="equal">
      <formula>0</formula>
    </cfRule>
  </conditionalFormatting>
  <conditionalFormatting sqref="AG18">
    <cfRule type="expression" dxfId="111" priority="385">
      <formula>$E$4=0</formula>
    </cfRule>
  </conditionalFormatting>
  <conditionalFormatting sqref="AH21:AV23">
    <cfRule type="expression" dxfId="110" priority="18">
      <formula>$E$4=0</formula>
    </cfRule>
  </conditionalFormatting>
  <conditionalFormatting sqref="AH25:AV27">
    <cfRule type="expression" dxfId="109" priority="19">
      <formula>$E$4=0</formula>
    </cfRule>
  </conditionalFormatting>
  <conditionalFormatting sqref="AH31:AV31">
    <cfRule type="expression" dxfId="108" priority="21">
      <formula>$E$4=0</formula>
    </cfRule>
  </conditionalFormatting>
  <conditionalFormatting sqref="AP9:AU9 AU14:AV14 AG16:AV16">
    <cfRule type="expression" dxfId="107" priority="20">
      <formula>$E$4=0</formula>
    </cfRule>
  </conditionalFormatting>
  <dataValidations count="10">
    <dataValidation type="list" allowBlank="1" showInputMessage="1" showErrorMessage="1" sqref="E11:E12 E14:E15" xr:uid="{00000000-0002-0000-0000-000000000000}">
      <formula1>$BU$23:$BU$24</formula1>
    </dataValidation>
    <dataValidation type="list" allowBlank="1" showInputMessage="1" showErrorMessage="1" sqref="C28:C32" xr:uid="{00000000-0002-0000-0000-000001000000}">
      <formula1>$BU$27:$BU$29</formula1>
    </dataValidation>
    <dataValidation type="whole" allowBlank="1" showInputMessage="1" showErrorMessage="1" sqref="E100" xr:uid="{00000000-0002-0000-0000-000002000000}">
      <formula1>0</formula1>
      <formula2>20</formula2>
    </dataValidation>
    <dataValidation type="whole" allowBlank="1" showInputMessage="1" showErrorMessage="1" errorTitle="Неверное количество" error="Введите количество от 0 до 10" sqref="E16:H16" xr:uid="{00000000-0002-0000-0000-000003000000}">
      <formula1>0</formula1>
      <formula2>10</formula2>
    </dataValidation>
    <dataValidation type="list" allowBlank="1" showInputMessage="1" showErrorMessage="1" sqref="E5" xr:uid="{00000000-0002-0000-0000-000004000000}">
      <formula1>$BW$73:$BW$77</formula1>
    </dataValidation>
    <dataValidation type="list" allowBlank="1" showInputMessage="1" showErrorMessage="1" sqref="E7:H7" xr:uid="{00000000-0002-0000-0000-000005000000}">
      <formula1>$BU$50:$BU$62</formula1>
    </dataValidation>
    <dataValidation type="list" allowBlank="1" showInputMessage="1" showErrorMessage="1" sqref="Y3:Z3" xr:uid="{00000000-0002-0000-0000-000006000000}">
      <formula1>$CD$21:$CD$28</formula1>
    </dataValidation>
    <dataValidation type="whole" allowBlank="1" showInputMessage="1" showErrorMessage="1" sqref="E6:H6" xr:uid="{00000000-0002-0000-0000-000007000000}">
      <formula1>0</formula1>
      <formula2>100</formula2>
    </dataValidation>
    <dataValidation type="list" allowBlank="1" showInputMessage="1" showErrorMessage="1" sqref="E13:H13" xr:uid="{00000000-0002-0000-0000-000008000000}">
      <formula1>$BU$37:$BU$39</formula1>
    </dataValidation>
    <dataValidation type="list" allowBlank="1" showInputMessage="1" showErrorMessage="1" sqref="E8:H8" xr:uid="{00000000-0002-0000-0000-000009000000}">
      <formula1>$BU$6:$BU$16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D34:G34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B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75" customWidth="1"/>
    <col min="14" max="14" width="14.77734375" style="75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1" hidden="1" customWidth="1"/>
    <col min="55" max="55" width="13.5546875" style="1" hidden="1" customWidth="1"/>
    <col min="56" max="56" width="12.77734375" style="1" hidden="1" customWidth="1"/>
    <col min="57" max="64" width="10.109375" style="1" hidden="1" customWidth="1"/>
    <col min="65" max="65" width="12.77734375" style="1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441" t="s">
        <v>104</v>
      </c>
      <c r="C1" s="441"/>
      <c r="D1" s="441"/>
      <c r="E1" s="441"/>
      <c r="F1" s="441"/>
      <c r="G1" s="441"/>
      <c r="H1" s="441"/>
      <c r="I1" s="118"/>
      <c r="J1" s="118"/>
      <c r="K1" s="441" t="s">
        <v>105</v>
      </c>
      <c r="L1" s="441"/>
      <c r="M1" s="441"/>
      <c r="N1" s="441"/>
      <c r="O1" s="441"/>
      <c r="P1" s="441"/>
      <c r="Q1" s="188"/>
      <c r="R1" s="188"/>
      <c r="S1" s="155"/>
      <c r="T1" s="155"/>
      <c r="U1" s="155"/>
    </row>
    <row r="2" spans="2:91" ht="25.05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220"/>
      <c r="N2" s="220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2:91" s="3" customFormat="1" ht="25.05" customHeight="1" thickBot="1" x14ac:dyDescent="0.35">
      <c r="B3" s="426" t="s">
        <v>121</v>
      </c>
      <c r="C3" s="427"/>
      <c r="D3" s="427"/>
      <c r="E3" s="434">
        <v>2600</v>
      </c>
      <c r="F3" s="434"/>
      <c r="G3" s="434"/>
      <c r="H3" s="435"/>
      <c r="K3" s="444" t="s">
        <v>263</v>
      </c>
      <c r="L3" s="470"/>
      <c r="M3" s="270"/>
      <c r="N3" s="272"/>
      <c r="O3" s="323"/>
      <c r="P3" s="323"/>
      <c r="Q3" s="261"/>
      <c r="R3" s="261"/>
      <c r="W3" s="473" t="s">
        <v>417</v>
      </c>
      <c r="X3" s="474"/>
      <c r="Y3" s="475"/>
      <c r="Z3" s="417" t="s">
        <v>418</v>
      </c>
      <c r="AA3" s="417"/>
      <c r="BF3" s="186" t="s">
        <v>418</v>
      </c>
    </row>
    <row r="4" spans="2:91" ht="25.05" customHeight="1" x14ac:dyDescent="0.3">
      <c r="B4" s="428" t="s">
        <v>426</v>
      </c>
      <c r="C4" s="429"/>
      <c r="D4" s="429"/>
      <c r="E4" s="436">
        <v>2500</v>
      </c>
      <c r="F4" s="436"/>
      <c r="G4" s="436"/>
      <c r="H4" s="437"/>
      <c r="K4" s="17" t="s">
        <v>428</v>
      </c>
      <c r="L4" s="264">
        <f>E3-60</f>
        <v>2540</v>
      </c>
      <c r="M4" s="263" t="s">
        <v>430</v>
      </c>
      <c r="N4" s="237">
        <f>E3-60</f>
        <v>2540</v>
      </c>
      <c r="S4" s="396" t="s">
        <v>453</v>
      </c>
    </row>
    <row r="5" spans="2:91" ht="25.05" customHeight="1" thickBot="1" x14ac:dyDescent="0.35">
      <c r="B5" s="428" t="s">
        <v>427</v>
      </c>
      <c r="C5" s="429"/>
      <c r="D5" s="429"/>
      <c r="E5" s="436">
        <v>2500</v>
      </c>
      <c r="F5" s="436"/>
      <c r="G5" s="436"/>
      <c r="H5" s="437"/>
      <c r="K5" s="119" t="s">
        <v>429</v>
      </c>
      <c r="L5" s="265">
        <f>ROUNDUP(IF(OR(E13=BY38,E13=BY39),(E4-10-5-34+39*(E9-1))/E9,(E4-10-34+39*(E9-1))/E9),0)</f>
        <v>845</v>
      </c>
      <c r="M5" s="266" t="s">
        <v>431</v>
      </c>
      <c r="N5" s="273">
        <f>ROUNDUP(IF(OR(E13=BY38,E13=BY39),(E5-10-5-34+39*(E10-1))/E10,(E5-10-34+39*(E10-1))/E10),0)</f>
        <v>845</v>
      </c>
      <c r="Q5" s="75"/>
      <c r="R5" s="75"/>
      <c r="S5" s="397"/>
      <c r="BA5" s="111" t="s">
        <v>256</v>
      </c>
      <c r="BB5" s="111"/>
      <c r="BC5" s="111"/>
      <c r="BD5" s="139">
        <v>4950</v>
      </c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</row>
    <row r="6" spans="2:91" ht="25.05" customHeight="1" thickBot="1" x14ac:dyDescent="0.35">
      <c r="B6" s="428" t="s">
        <v>442</v>
      </c>
      <c r="C6" s="429"/>
      <c r="D6" s="429"/>
      <c r="E6" s="384">
        <v>0</v>
      </c>
      <c r="F6" s="384"/>
      <c r="G6" s="384"/>
      <c r="H6" s="385"/>
      <c r="K6" s="446"/>
      <c r="L6" s="446"/>
      <c r="M6" s="446"/>
      <c r="N6" s="446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3"/>
      <c r="AZ6" s="3"/>
      <c r="BA6" s="111" t="s">
        <v>257</v>
      </c>
      <c r="BB6" s="111"/>
      <c r="BC6" s="111"/>
      <c r="BD6" s="111">
        <v>5025</v>
      </c>
      <c r="BE6" s="139"/>
      <c r="BF6" s="111"/>
      <c r="BG6" s="111"/>
      <c r="BH6" s="111"/>
      <c r="BI6" s="111"/>
      <c r="BJ6" s="111"/>
      <c r="BK6" s="111"/>
      <c r="BL6" s="111"/>
      <c r="BM6" s="111"/>
      <c r="BN6" s="139"/>
      <c r="BO6" s="139"/>
      <c r="BP6" s="139"/>
      <c r="BQ6" s="139"/>
      <c r="BR6" s="139"/>
      <c r="BS6" s="139"/>
      <c r="BY6" s="41"/>
      <c r="CG6" s="1" t="s">
        <v>451</v>
      </c>
      <c r="CH6" s="1" t="s">
        <v>237</v>
      </c>
      <c r="CI6" s="1">
        <f>IF(E7=CG6,9,8)</f>
        <v>8</v>
      </c>
      <c r="CM6" s="39">
        <v>0</v>
      </c>
    </row>
    <row r="7" spans="2:91" ht="25.05" customHeight="1" x14ac:dyDescent="0.3">
      <c r="B7" s="428" t="s">
        <v>236</v>
      </c>
      <c r="C7" s="429"/>
      <c r="D7" s="429"/>
      <c r="E7" s="384" t="s">
        <v>452</v>
      </c>
      <c r="F7" s="384"/>
      <c r="G7" s="384"/>
      <c r="H7" s="385"/>
      <c r="K7" s="444" t="s">
        <v>181</v>
      </c>
      <c r="L7" s="470"/>
      <c r="M7" s="470"/>
      <c r="N7" s="470"/>
      <c r="O7" s="311"/>
      <c r="P7" s="312"/>
      <c r="Q7" s="259"/>
      <c r="R7" s="259"/>
      <c r="S7" s="202"/>
      <c r="T7" s="259"/>
      <c r="U7" s="310"/>
      <c r="V7" s="418" t="s">
        <v>100</v>
      </c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9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" t="s">
        <v>265</v>
      </c>
      <c r="AZ7" s="3"/>
      <c r="BA7" s="139" t="s">
        <v>258</v>
      </c>
      <c r="BB7" s="139"/>
      <c r="BC7" s="139"/>
      <c r="BD7" s="111">
        <v>5350</v>
      </c>
      <c r="BE7" s="139"/>
      <c r="BF7" s="111"/>
      <c r="BG7" s="111"/>
      <c r="BH7" s="111"/>
      <c r="BI7" s="111"/>
      <c r="BJ7" s="111"/>
      <c r="BK7" s="111"/>
      <c r="BL7" s="111"/>
      <c r="BM7" s="111"/>
      <c r="BN7" s="139"/>
      <c r="BO7" s="139"/>
      <c r="BP7" s="139"/>
      <c r="BQ7" s="139"/>
      <c r="BR7" s="139"/>
      <c r="BS7" s="139"/>
      <c r="BY7" s="42" t="s">
        <v>95</v>
      </c>
      <c r="CG7" s="1" t="s">
        <v>452</v>
      </c>
      <c r="CH7" s="1" t="s">
        <v>253</v>
      </c>
      <c r="CM7" s="39">
        <v>1</v>
      </c>
    </row>
    <row r="8" spans="2:91" ht="25.05" customHeight="1" x14ac:dyDescent="0.3">
      <c r="B8" s="428" t="s">
        <v>122</v>
      </c>
      <c r="C8" s="429"/>
      <c r="D8" s="429"/>
      <c r="E8" s="384" t="s">
        <v>227</v>
      </c>
      <c r="F8" s="384"/>
      <c r="G8" s="384"/>
      <c r="H8" s="385"/>
      <c r="K8" s="308" t="s">
        <v>0</v>
      </c>
      <c r="L8" s="309" t="s">
        <v>1</v>
      </c>
      <c r="M8" s="309" t="s">
        <v>7</v>
      </c>
      <c r="N8" s="157" t="s">
        <v>267</v>
      </c>
      <c r="O8" s="157" t="s">
        <v>101</v>
      </c>
      <c r="P8" s="184" t="s">
        <v>23</v>
      </c>
      <c r="Q8" s="110"/>
      <c r="R8" s="110"/>
      <c r="S8" s="203" t="s">
        <v>24</v>
      </c>
      <c r="T8" s="110"/>
      <c r="U8" s="254"/>
      <c r="V8" s="81">
        <v>1000</v>
      </c>
      <c r="W8" s="81">
        <v>1250</v>
      </c>
      <c r="X8" s="81">
        <v>1800</v>
      </c>
      <c r="Y8" s="81">
        <v>2000</v>
      </c>
      <c r="Z8" s="81">
        <v>2500</v>
      </c>
      <c r="AA8" s="81">
        <v>2700</v>
      </c>
      <c r="AB8" s="81">
        <v>3000</v>
      </c>
      <c r="AC8" s="81">
        <v>3600</v>
      </c>
      <c r="AD8" s="81">
        <v>3750</v>
      </c>
      <c r="AE8" s="81">
        <v>4000</v>
      </c>
      <c r="AF8" s="81">
        <v>5000</v>
      </c>
      <c r="AG8" s="81">
        <v>5400</v>
      </c>
      <c r="AH8" s="157" t="s">
        <v>101</v>
      </c>
      <c r="AI8" s="43" t="s">
        <v>24</v>
      </c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44"/>
      <c r="AZ8" s="44"/>
      <c r="BA8" s="81">
        <v>1000</v>
      </c>
      <c r="BB8" s="81">
        <v>1250</v>
      </c>
      <c r="BC8" s="81">
        <v>1800</v>
      </c>
      <c r="BD8" s="81">
        <v>2000</v>
      </c>
      <c r="BE8" s="81">
        <v>2500</v>
      </c>
      <c r="BF8" s="81">
        <v>2700</v>
      </c>
      <c r="BG8" s="81">
        <v>3000</v>
      </c>
      <c r="BH8" s="81">
        <v>3600</v>
      </c>
      <c r="BI8" s="81">
        <v>3750</v>
      </c>
      <c r="BJ8" s="81">
        <v>4000</v>
      </c>
      <c r="BK8" s="81">
        <v>5000</v>
      </c>
      <c r="BL8" s="112">
        <v>5400</v>
      </c>
      <c r="BM8" s="274"/>
      <c r="BN8" s="275"/>
      <c r="BO8" s="139"/>
      <c r="BP8" s="274"/>
      <c r="BQ8" s="275"/>
      <c r="BR8" s="139"/>
      <c r="BS8" s="139"/>
      <c r="BW8" s="1" t="s">
        <v>128</v>
      </c>
      <c r="BY8" s="42" t="s">
        <v>96</v>
      </c>
      <c r="CM8" s="39">
        <v>2</v>
      </c>
    </row>
    <row r="9" spans="2:91" ht="25.05" customHeight="1" x14ac:dyDescent="0.35">
      <c r="B9" s="430" t="s">
        <v>432</v>
      </c>
      <c r="C9" s="431"/>
      <c r="D9" s="431"/>
      <c r="E9" s="384">
        <v>3</v>
      </c>
      <c r="F9" s="384"/>
      <c r="G9" s="384"/>
      <c r="H9" s="385"/>
      <c r="J9" s="341" t="s">
        <v>2</v>
      </c>
      <c r="K9" s="18" t="s">
        <v>2</v>
      </c>
      <c r="L9" s="181" t="s">
        <v>189</v>
      </c>
      <c r="M9" s="98">
        <f>L4</f>
        <v>2540</v>
      </c>
      <c r="N9" s="99">
        <f>(E9+E10)*2</f>
        <v>12</v>
      </c>
      <c r="O9" s="98"/>
      <c r="P9" s="269">
        <f>IF(M9&gt;2650,N9,N9/2)</f>
        <v>6</v>
      </c>
      <c r="Q9" s="193"/>
      <c r="R9" s="193"/>
      <c r="S9" s="226">
        <f>P9*BW9</f>
        <v>32465.879999999997</v>
      </c>
      <c r="T9" s="199"/>
      <c r="U9" s="322" t="str">
        <f t="shared" ref="U9:U18" si="0">K9</f>
        <v>вертикальный профиль</v>
      </c>
      <c r="V9" s="174">
        <f t="shared" ref="V9:AG11" si="1">IF($Z$3=$CF$21,BA9,IF($Z$3=$CF$27,BA42,IF($Z$3=$CF$28,BA59,BA26)))</f>
        <v>0</v>
      </c>
      <c r="W9" s="174">
        <f t="shared" si="1"/>
        <v>0</v>
      </c>
      <c r="X9" s="174">
        <f t="shared" si="1"/>
        <v>0</v>
      </c>
      <c r="Y9" s="174">
        <f t="shared" si="1"/>
        <v>0</v>
      </c>
      <c r="Z9" s="174">
        <f t="shared" si="1"/>
        <v>0</v>
      </c>
      <c r="AA9" s="174">
        <f t="shared" si="1"/>
        <v>0</v>
      </c>
      <c r="AB9" s="174">
        <f t="shared" si="1"/>
        <v>0</v>
      </c>
      <c r="AC9" s="174">
        <f t="shared" si="1"/>
        <v>0</v>
      </c>
      <c r="AD9" s="174">
        <f t="shared" si="1"/>
        <v>0</v>
      </c>
      <c r="AE9" s="174">
        <f t="shared" si="1"/>
        <v>0</v>
      </c>
      <c r="AF9" s="174">
        <f t="shared" si="1"/>
        <v>0</v>
      </c>
      <c r="AG9" s="174">
        <f t="shared" si="1"/>
        <v>6</v>
      </c>
      <c r="AH9" s="103"/>
      <c r="AI9" s="175">
        <f>S9</f>
        <v>32465.879999999997</v>
      </c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36"/>
      <c r="AW9" s="336"/>
      <c r="AX9" s="336"/>
      <c r="AY9" s="287">
        <v>0.69</v>
      </c>
      <c r="AZ9" s="3">
        <f>AY9*M9*N9/1000</f>
        <v>21.031199999999998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111">
        <v>0</v>
      </c>
      <c r="BL9" s="250">
        <f>P9</f>
        <v>6</v>
      </c>
      <c r="BM9" s="111"/>
      <c r="BN9" s="111"/>
      <c r="BO9" s="111"/>
      <c r="BS9" s="111"/>
      <c r="BT9" s="3"/>
      <c r="BU9" s="3"/>
      <c r="BV9" s="3"/>
      <c r="BW9" s="3">
        <f t="array" ref="BW9">INDEX(Цены!J:J,MATCH(J9&amp;$E$8,Цены!C:C&amp;Цены!G:G,0))</f>
        <v>5410.98</v>
      </c>
      <c r="BX9" s="3"/>
      <c r="BY9" s="42" t="s">
        <v>97</v>
      </c>
      <c r="CF9" s="1" t="s">
        <v>455</v>
      </c>
    </row>
    <row r="10" spans="2:91" ht="25.05" customHeight="1" thickBot="1" x14ac:dyDescent="0.35">
      <c r="B10" s="432" t="s">
        <v>433</v>
      </c>
      <c r="C10" s="433"/>
      <c r="D10" s="433"/>
      <c r="E10" s="384">
        <v>3</v>
      </c>
      <c r="F10" s="384"/>
      <c r="G10" s="384"/>
      <c r="H10" s="385"/>
      <c r="J10" s="342" t="s">
        <v>448</v>
      </c>
      <c r="K10" s="313" t="s">
        <v>448</v>
      </c>
      <c r="L10" s="182" t="s">
        <v>449</v>
      </c>
      <c r="M10" s="98">
        <f>M9</f>
        <v>2540</v>
      </c>
      <c r="N10" s="99">
        <v>2</v>
      </c>
      <c r="O10" s="314"/>
      <c r="P10" s="269">
        <f>IF(M10&gt;2650,N10,N10/2)</f>
        <v>1</v>
      </c>
      <c r="Q10" s="41"/>
      <c r="R10" s="41"/>
      <c r="S10" s="226">
        <f>P10*BW10</f>
        <v>3191.28</v>
      </c>
      <c r="T10" s="199"/>
      <c r="U10" s="322" t="str">
        <f t="shared" si="0"/>
        <v>угловой профиль</v>
      </c>
      <c r="V10" s="174">
        <f t="shared" si="1"/>
        <v>0</v>
      </c>
      <c r="W10" s="174">
        <f t="shared" si="1"/>
        <v>0</v>
      </c>
      <c r="X10" s="174">
        <f t="shared" si="1"/>
        <v>0</v>
      </c>
      <c r="Y10" s="174">
        <f t="shared" si="1"/>
        <v>0</v>
      </c>
      <c r="Z10" s="174">
        <f t="shared" si="1"/>
        <v>0</v>
      </c>
      <c r="AA10" s="174">
        <f t="shared" si="1"/>
        <v>0</v>
      </c>
      <c r="AB10" s="174">
        <f t="shared" si="1"/>
        <v>0</v>
      </c>
      <c r="AC10" s="174">
        <f t="shared" si="1"/>
        <v>0</v>
      </c>
      <c r="AD10" s="174">
        <f t="shared" si="1"/>
        <v>0</v>
      </c>
      <c r="AE10" s="174">
        <f t="shared" si="1"/>
        <v>0</v>
      </c>
      <c r="AF10" s="174">
        <f t="shared" si="1"/>
        <v>0</v>
      </c>
      <c r="AG10" s="174">
        <f t="shared" si="1"/>
        <v>1</v>
      </c>
      <c r="AH10" s="139"/>
      <c r="AI10" s="175">
        <f>S10</f>
        <v>3191.28</v>
      </c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36"/>
      <c r="AW10" s="336"/>
      <c r="AX10" s="336"/>
      <c r="AY10" s="333">
        <v>0.36899999999999999</v>
      </c>
      <c r="AZ10" s="3">
        <f>AY10*M10*N10/1000</f>
        <v>1.87452</v>
      </c>
      <c r="BA10" s="111">
        <v>0</v>
      </c>
      <c r="BB10" s="111">
        <v>0</v>
      </c>
      <c r="BC10" s="111">
        <v>0</v>
      </c>
      <c r="BD10" s="111">
        <v>0</v>
      </c>
      <c r="BE10" s="111">
        <v>0</v>
      </c>
      <c r="BF10" s="111">
        <v>0</v>
      </c>
      <c r="BG10" s="111">
        <v>0</v>
      </c>
      <c r="BH10" s="111">
        <v>0</v>
      </c>
      <c r="BI10" s="111">
        <v>0</v>
      </c>
      <c r="BJ10" s="111">
        <v>0</v>
      </c>
      <c r="BK10" s="111">
        <v>0</v>
      </c>
      <c r="BL10" s="250">
        <f>P10</f>
        <v>1</v>
      </c>
      <c r="BP10" s="111" t="s">
        <v>441</v>
      </c>
      <c r="BQ10" s="111"/>
      <c r="BR10" s="111" t="s">
        <v>440</v>
      </c>
      <c r="BW10" s="3">
        <f t="array" ref="BW10">IFERROR(INDEX(Цены!J:J,MATCH(J10&amp;$E$8,Цены!C:C&amp;Цены!G:G,0)),Цены!J73)</f>
        <v>3191.28</v>
      </c>
      <c r="BX10" s="3"/>
      <c r="BY10" s="42" t="s">
        <v>157</v>
      </c>
      <c r="CF10" s="1" t="s">
        <v>453</v>
      </c>
    </row>
    <row r="11" spans="2:91" ht="25.05" customHeight="1" x14ac:dyDescent="0.3">
      <c r="B11" s="432" t="s">
        <v>245</v>
      </c>
      <c r="C11" s="433"/>
      <c r="D11" s="433"/>
      <c r="E11" s="394" t="s">
        <v>98</v>
      </c>
      <c r="F11" s="394"/>
      <c r="G11" s="394"/>
      <c r="H11" s="395"/>
      <c r="J11" s="341" t="s">
        <v>4</v>
      </c>
      <c r="K11" s="18" t="s">
        <v>434</v>
      </c>
      <c r="L11" s="181" t="s">
        <v>190</v>
      </c>
      <c r="M11" s="98">
        <f>E4-8</f>
        <v>2492</v>
      </c>
      <c r="N11" s="99">
        <f>E9</f>
        <v>3</v>
      </c>
      <c r="O11" s="425">
        <f>M11*N11+M12*N12</f>
        <v>14952</v>
      </c>
      <c r="P11" s="421">
        <f>AF11+Z11</f>
        <v>6</v>
      </c>
      <c r="Q11" s="193"/>
      <c r="R11" s="193"/>
      <c r="S11" s="402">
        <f>P11*BW11</f>
        <v>34896.42</v>
      </c>
      <c r="U11" s="322" t="str">
        <f t="shared" si="0"/>
        <v>направляющая верхняя А</v>
      </c>
      <c r="V11" s="411">
        <f t="shared" si="1"/>
        <v>0</v>
      </c>
      <c r="W11" s="411">
        <f t="shared" si="1"/>
        <v>0</v>
      </c>
      <c r="X11" s="411">
        <f t="shared" si="1"/>
        <v>0</v>
      </c>
      <c r="Y11" s="411">
        <f t="shared" si="1"/>
        <v>0</v>
      </c>
      <c r="Z11" s="411">
        <f t="shared" si="1"/>
        <v>0</v>
      </c>
      <c r="AA11" s="411">
        <f t="shared" si="1"/>
        <v>0</v>
      </c>
      <c r="AB11" s="411">
        <f t="shared" si="1"/>
        <v>0</v>
      </c>
      <c r="AC11" s="411">
        <f t="shared" si="1"/>
        <v>0</v>
      </c>
      <c r="AD11" s="411">
        <f t="shared" si="1"/>
        <v>0</v>
      </c>
      <c r="AE11" s="411">
        <f t="shared" si="1"/>
        <v>0</v>
      </c>
      <c r="AF11" s="411">
        <f t="shared" si="1"/>
        <v>6</v>
      </c>
      <c r="AG11" s="411">
        <f t="shared" si="1"/>
        <v>0</v>
      </c>
      <c r="AH11" s="424">
        <f>AV11</f>
        <v>30000</v>
      </c>
      <c r="AI11" s="420">
        <f>Z11*BW11*0.5+AF11*BW11</f>
        <v>34896.42</v>
      </c>
      <c r="AJ11" s="326">
        <f>V11*$V$8</f>
        <v>0</v>
      </c>
      <c r="AK11" s="326">
        <f>W11*$W$8</f>
        <v>0</v>
      </c>
      <c r="AL11" s="326">
        <f>X11*$X$8</f>
        <v>0</v>
      </c>
      <c r="AM11" s="326">
        <f>Y11*$Y$8</f>
        <v>0</v>
      </c>
      <c r="AN11" s="326">
        <f>Z11*$Z$8</f>
        <v>0</v>
      </c>
      <c r="AO11" s="326">
        <f>AA11*$AA$8</f>
        <v>0</v>
      </c>
      <c r="AP11" s="326">
        <f>AB11*$AB$8</f>
        <v>0</v>
      </c>
      <c r="AQ11" s="326">
        <f>AC11*$AC$8</f>
        <v>0</v>
      </c>
      <c r="AR11" s="326">
        <f>AD11*$AD$8</f>
        <v>0</v>
      </c>
      <c r="AS11" s="326">
        <f>AE11*$AE$8</f>
        <v>0</v>
      </c>
      <c r="AT11" s="326">
        <f>AF11*$AF$8</f>
        <v>30000</v>
      </c>
      <c r="AU11" s="326">
        <f>AG11*$AG$8</f>
        <v>0</v>
      </c>
      <c r="AV11" s="336">
        <f>SUM(AJ11:AU11)</f>
        <v>30000</v>
      </c>
      <c r="AW11" s="336"/>
      <c r="AX11" s="336"/>
      <c r="AY11" s="3"/>
      <c r="AZ11" s="3"/>
      <c r="BA11" s="113">
        <v>0</v>
      </c>
      <c r="BB11" s="113">
        <v>0</v>
      </c>
      <c r="BC11" s="113">
        <v>0</v>
      </c>
      <c r="BD11" s="113">
        <v>0</v>
      </c>
      <c r="BE11" s="111">
        <f>IF(AND((E4+E5)&gt;BD5,BP11=1),1,0)</f>
        <v>0</v>
      </c>
      <c r="BF11" s="113">
        <v>0</v>
      </c>
      <c r="BG11" s="113">
        <v>0</v>
      </c>
      <c r="BH11" s="113">
        <v>0</v>
      </c>
      <c r="BI11" s="113">
        <v>0</v>
      </c>
      <c r="BJ11" s="113">
        <v>0</v>
      </c>
      <c r="BK11" s="111">
        <f>IF(E4+E5&lt;=4950,BR11,IF(AND(BM11&gt;2500,BM11&lt;=4950),BN11+1,BN11)+IF(AND(BM12&gt;2500,BM12&lt;=4950),BN12+1,BN12)+IF(BP11=2,1,0))</f>
        <v>6</v>
      </c>
      <c r="BL11" s="113">
        <v>0</v>
      </c>
      <c r="BM11" s="139">
        <f>M11*N11-INT($BD$5/M11)*M11*BN11</f>
        <v>0</v>
      </c>
      <c r="BN11" s="111">
        <f>IF(E4&gt;BD5,0,INT(N11/INT($BD$5/M11)))</f>
        <v>3</v>
      </c>
      <c r="BO11" s="111"/>
      <c r="BP11" s="111">
        <f>IF(AND(BM11&gt;0,BM11&lt;=2500),1,0)+IF(AND(BM12&gt;0,BM12&lt;=2500),1,0)</f>
        <v>0</v>
      </c>
      <c r="BQ11" s="111"/>
      <c r="BR11" s="111">
        <f>ROUNDUP(IF($E$4+$E$5&lt;=5000,$O$11/$BD$5,0),0)</f>
        <v>4</v>
      </c>
      <c r="BS11" s="111"/>
      <c r="BT11" s="3"/>
      <c r="BU11" s="3"/>
      <c r="BV11" s="3"/>
      <c r="BW11" s="3">
        <f t="array" ref="BW11">IFERROR(INDEX(Цены!J:J,MATCH(J11&amp;$E$8,Цены!C:C&amp;Цены!G:G,0)),Цены!J33)</f>
        <v>5816.07</v>
      </c>
      <c r="BX11" s="3"/>
      <c r="BY11" s="42" t="s">
        <v>106</v>
      </c>
      <c r="CF11" s="1" t="s">
        <v>454</v>
      </c>
    </row>
    <row r="12" spans="2:91" ht="25.05" customHeight="1" x14ac:dyDescent="0.3">
      <c r="B12" s="430" t="s">
        <v>457</v>
      </c>
      <c r="C12" s="431"/>
      <c r="D12" s="431"/>
      <c r="E12" s="394" t="s">
        <v>99</v>
      </c>
      <c r="F12" s="394"/>
      <c r="G12" s="394"/>
      <c r="H12" s="395"/>
      <c r="J12" s="341" t="s">
        <v>4</v>
      </c>
      <c r="K12" s="18" t="s">
        <v>435</v>
      </c>
      <c r="L12" s="181" t="s">
        <v>190</v>
      </c>
      <c r="M12" s="98">
        <f>E5-8</f>
        <v>2492</v>
      </c>
      <c r="N12" s="99">
        <f>E10</f>
        <v>3</v>
      </c>
      <c r="O12" s="425"/>
      <c r="P12" s="421"/>
      <c r="Q12" s="41"/>
      <c r="R12" s="41"/>
      <c r="S12" s="402"/>
      <c r="T12" s="199"/>
      <c r="U12" s="322" t="str">
        <f t="shared" si="0"/>
        <v>направляющая верхняя Б</v>
      </c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24"/>
      <c r="AI12" s="420"/>
      <c r="AJ12" s="326"/>
      <c r="AK12" s="326"/>
      <c r="AL12" s="326"/>
      <c r="AM12" s="326"/>
      <c r="AN12" s="326"/>
      <c r="AO12" s="326"/>
      <c r="AP12" s="326"/>
      <c r="AQ12" s="326"/>
      <c r="AR12" s="326"/>
      <c r="AS12" s="326"/>
      <c r="AT12" s="326"/>
      <c r="AU12" s="326"/>
      <c r="AV12" s="336"/>
      <c r="AW12" s="336"/>
      <c r="AX12" s="336"/>
      <c r="BM12" s="139">
        <f>M12*N12-INT($BD$5/M12)*M12*BN12</f>
        <v>0</v>
      </c>
      <c r="BN12" s="111">
        <f>IF(E5&gt;BD5,0,INT(N12/INT($BD$5/M12)))</f>
        <v>3</v>
      </c>
      <c r="BP12" s="111"/>
      <c r="BR12" s="111"/>
      <c r="BW12" s="3"/>
      <c r="BX12" s="3"/>
      <c r="BY12" s="42" t="s">
        <v>130</v>
      </c>
    </row>
    <row r="13" spans="2:91" ht="25.05" customHeight="1" x14ac:dyDescent="0.3">
      <c r="B13" s="432" t="s">
        <v>158</v>
      </c>
      <c r="C13" s="433"/>
      <c r="D13" s="433"/>
      <c r="E13" s="394" t="s">
        <v>80</v>
      </c>
      <c r="F13" s="394"/>
      <c r="G13" s="394"/>
      <c r="H13" s="395"/>
      <c r="J13" s="341" t="s">
        <v>5</v>
      </c>
      <c r="K13" s="18" t="s">
        <v>436</v>
      </c>
      <c r="L13" s="181" t="s">
        <v>191</v>
      </c>
      <c r="M13" s="268">
        <f>E4</f>
        <v>2500</v>
      </c>
      <c r="N13" s="99">
        <v>2</v>
      </c>
      <c r="O13" s="425">
        <f>M13*N13+M14*N14</f>
        <v>10000</v>
      </c>
      <c r="P13" s="421">
        <f>AF13+Z13</f>
        <v>2</v>
      </c>
      <c r="Q13" s="193"/>
      <c r="R13" s="193"/>
      <c r="S13" s="402">
        <f>P13*BW13</f>
        <v>3785.9</v>
      </c>
      <c r="T13" s="199"/>
      <c r="U13" s="322" t="str">
        <f t="shared" si="0"/>
        <v>накладка декоративная А</v>
      </c>
      <c r="V13" s="411">
        <f t="shared" ref="V13:AG13" si="2">IF($Z$3=$CF$21,BA13,IF($Z$3=$CF$27,BA46,IF($Z$3=$CF$28,BA63,BA30)))</f>
        <v>0</v>
      </c>
      <c r="W13" s="411">
        <f t="shared" si="2"/>
        <v>0</v>
      </c>
      <c r="X13" s="411">
        <f t="shared" si="2"/>
        <v>0</v>
      </c>
      <c r="Y13" s="411">
        <f t="shared" si="2"/>
        <v>0</v>
      </c>
      <c r="Z13" s="411">
        <f t="shared" si="2"/>
        <v>0</v>
      </c>
      <c r="AA13" s="411">
        <f t="shared" si="2"/>
        <v>0</v>
      </c>
      <c r="AB13" s="411">
        <f t="shared" si="2"/>
        <v>0</v>
      </c>
      <c r="AC13" s="411">
        <f t="shared" si="2"/>
        <v>0</v>
      </c>
      <c r="AD13" s="411">
        <f t="shared" si="2"/>
        <v>0</v>
      </c>
      <c r="AE13" s="411">
        <f t="shared" si="2"/>
        <v>0</v>
      </c>
      <c r="AF13" s="411">
        <f t="shared" si="2"/>
        <v>2</v>
      </c>
      <c r="AG13" s="411">
        <f t="shared" si="2"/>
        <v>0</v>
      </c>
      <c r="AH13" s="424">
        <f>AV13</f>
        <v>10000</v>
      </c>
      <c r="AI13" s="420">
        <f>(Z13*0.5+AF13)*BW13</f>
        <v>3785.9</v>
      </c>
      <c r="AJ13" s="326">
        <f t="shared" ref="AJ13:AJ17" si="3">V13*$V$8</f>
        <v>0</v>
      </c>
      <c r="AK13" s="326">
        <f t="shared" ref="AK13:AK17" si="4">W13*$W$8</f>
        <v>0</v>
      </c>
      <c r="AL13" s="326">
        <f t="shared" ref="AL13:AL17" si="5">X13*$X$8</f>
        <v>0</v>
      </c>
      <c r="AM13" s="326">
        <f t="shared" ref="AM13:AM17" si="6">Y13*$Y$8</f>
        <v>0</v>
      </c>
      <c r="AN13" s="326">
        <f t="shared" ref="AN13:AN17" si="7">Z13*$Z$8</f>
        <v>0</v>
      </c>
      <c r="AO13" s="326">
        <f t="shared" ref="AO13:AO17" si="8">AA13*$AA$8</f>
        <v>0</v>
      </c>
      <c r="AP13" s="326">
        <f t="shared" ref="AP13:AP17" si="9">AB13*$AB$8</f>
        <v>0</v>
      </c>
      <c r="AQ13" s="326">
        <f t="shared" ref="AQ13:AQ17" si="10">AC13*$AC$8</f>
        <v>0</v>
      </c>
      <c r="AR13" s="326">
        <f t="shared" ref="AR13:AR17" si="11">AD13*$AD$8</f>
        <v>0</v>
      </c>
      <c r="AS13" s="326">
        <f t="shared" ref="AS13:AS17" si="12">AE13*$AE$8</f>
        <v>0</v>
      </c>
      <c r="AT13" s="326">
        <f t="shared" ref="AT13:AT17" si="13">AF13*$AF$8</f>
        <v>10000</v>
      </c>
      <c r="AU13" s="326">
        <f t="shared" ref="AU13:AU17" si="14">AG13*$AG$8</f>
        <v>0</v>
      </c>
      <c r="AV13" s="336">
        <f>SUM(AJ13:AU13)</f>
        <v>10000</v>
      </c>
      <c r="AW13" s="336"/>
      <c r="AX13" s="336"/>
      <c r="AY13" s="3"/>
      <c r="AZ13" s="3"/>
      <c r="BA13" s="113">
        <v>0</v>
      </c>
      <c r="BB13" s="113">
        <v>0</v>
      </c>
      <c r="BC13" s="113">
        <v>0</v>
      </c>
      <c r="BD13" s="113">
        <v>0</v>
      </c>
      <c r="BE13" s="111">
        <f t="shared" ref="BE13" si="15">IF(BP13=1,1,0)</f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1">
        <f>IF(E4+E5&lt;=5025,BR13,IF(AND(BM13&gt;2500,BM13&lt;=5025),BN13+1,BN13)+IF(AND(BM14&gt;2500,BM14&lt;=5025),BN14+1,BN14)+IF(BP13=2,1,0))</f>
        <v>2</v>
      </c>
      <c r="BL13" s="113">
        <v>0</v>
      </c>
      <c r="BM13" s="139">
        <f>M13*N13-INT($BD$6/M13)*M13*BN13</f>
        <v>0</v>
      </c>
      <c r="BN13" s="111">
        <f>IF($E$4&gt;BD6,0,INT(N13/INT($BD$6/M13)))</f>
        <v>1</v>
      </c>
      <c r="BO13" s="111"/>
      <c r="BP13" s="111">
        <f t="shared" ref="BP13" si="16">IF(AND(BM13&gt;0,BM13&lt;=2500),1,0)+IF(AND(BM14&gt;0,BM14&lt;=2500),1,0)</f>
        <v>0</v>
      </c>
      <c r="BQ13" s="111"/>
      <c r="BR13" s="111">
        <f>ROUNDUP(IF($E$4+$E$5&lt;=5075,O13/BD6,0),0)</f>
        <v>2</v>
      </c>
      <c r="BS13" s="111"/>
      <c r="BT13" s="3"/>
      <c r="BU13" s="3"/>
      <c r="BV13" s="3"/>
      <c r="BW13" s="3">
        <f t="array" ref="BW13">INDEX(Цены!J:J,MATCH(J13&amp;$E$8,Цены!C:C&amp;Цены!G:G,0))</f>
        <v>1892.95</v>
      </c>
      <c r="BX13" s="3"/>
      <c r="BY13" s="42" t="s">
        <v>182</v>
      </c>
    </row>
    <row r="14" spans="2:91" ht="25.05" customHeight="1" x14ac:dyDescent="0.3">
      <c r="B14" s="430" t="s">
        <v>125</v>
      </c>
      <c r="C14" s="431"/>
      <c r="D14" s="431"/>
      <c r="E14" s="394" t="s">
        <v>99</v>
      </c>
      <c r="F14" s="394"/>
      <c r="G14" s="394"/>
      <c r="H14" s="395"/>
      <c r="J14" s="341" t="s">
        <v>5</v>
      </c>
      <c r="K14" s="18" t="s">
        <v>437</v>
      </c>
      <c r="L14" s="181" t="s">
        <v>191</v>
      </c>
      <c r="M14" s="101">
        <f>E5</f>
        <v>2500</v>
      </c>
      <c r="N14" s="102">
        <v>2</v>
      </c>
      <c r="O14" s="425"/>
      <c r="P14" s="421"/>
      <c r="Q14" s="193"/>
      <c r="R14" s="193"/>
      <c r="S14" s="402"/>
      <c r="T14" s="199"/>
      <c r="U14" s="322" t="str">
        <f t="shared" si="0"/>
        <v>накладка декоративная Б</v>
      </c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24"/>
      <c r="AI14" s="420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36"/>
      <c r="AW14" s="336"/>
      <c r="AX14" s="336"/>
      <c r="AY14" s="3"/>
      <c r="AZ14" s="3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39">
        <f>M14*N14-INT($BD$6/M14)*M14*BN14</f>
        <v>0</v>
      </c>
      <c r="BN14" s="111">
        <f>IF($E$4&gt;BD6,0,INT(N14/INT($BD$6/M14)))</f>
        <v>1</v>
      </c>
      <c r="BO14" s="111"/>
      <c r="BP14" s="111"/>
      <c r="BQ14" s="111"/>
      <c r="BR14" s="111"/>
      <c r="BS14" s="111"/>
      <c r="BT14" s="3"/>
      <c r="BU14" s="3"/>
      <c r="BV14" s="3"/>
      <c r="BW14" s="3"/>
      <c r="BX14" s="121"/>
      <c r="BY14" s="1" t="s">
        <v>188</v>
      </c>
      <c r="CH14" s="1" t="s">
        <v>173</v>
      </c>
    </row>
    <row r="15" spans="2:91" ht="25.05" customHeight="1" x14ac:dyDescent="0.3">
      <c r="B15" s="430" t="s">
        <v>164</v>
      </c>
      <c r="C15" s="431"/>
      <c r="D15" s="431"/>
      <c r="E15" s="384" t="s">
        <v>98</v>
      </c>
      <c r="F15" s="384"/>
      <c r="G15" s="384"/>
      <c r="H15" s="385"/>
      <c r="J15" s="341" t="s">
        <v>3</v>
      </c>
      <c r="K15" s="18" t="s">
        <v>438</v>
      </c>
      <c r="L15" s="181" t="s">
        <v>252</v>
      </c>
      <c r="M15" s="98">
        <f>L5-78</f>
        <v>767</v>
      </c>
      <c r="N15" s="99">
        <f>E9*2</f>
        <v>6</v>
      </c>
      <c r="O15" s="425">
        <f>M15*N15+M16*N16</f>
        <v>9204</v>
      </c>
      <c r="P15" s="421">
        <f>BN15+BN16+IF(BM15+BM16&gt;BD5,2,IF(BM15+BM16=0,0,1))</f>
        <v>2</v>
      </c>
      <c r="Q15" s="193"/>
      <c r="R15" s="193"/>
      <c r="S15" s="402">
        <f>P15*BW15</f>
        <v>6534.3</v>
      </c>
      <c r="U15" s="322" t="str">
        <f t="shared" si="0"/>
        <v>рамка верхняя А</v>
      </c>
      <c r="V15" s="411">
        <f t="shared" ref="V15:AG15" si="17">IF($Z$3=$CF$21,BA15,IF($Z$3=$CF$27,BA48,IF($Z$3=$CF$28,BA65,BA32)))</f>
        <v>0</v>
      </c>
      <c r="W15" s="411">
        <f t="shared" si="17"/>
        <v>0</v>
      </c>
      <c r="X15" s="411">
        <f t="shared" si="17"/>
        <v>0</v>
      </c>
      <c r="Y15" s="411">
        <f t="shared" si="17"/>
        <v>0</v>
      </c>
      <c r="Z15" s="411">
        <f t="shared" si="17"/>
        <v>0</v>
      </c>
      <c r="AA15" s="411">
        <f t="shared" si="17"/>
        <v>0</v>
      </c>
      <c r="AB15" s="411">
        <f t="shared" si="17"/>
        <v>0</v>
      </c>
      <c r="AC15" s="411">
        <f t="shared" si="17"/>
        <v>0</v>
      </c>
      <c r="AD15" s="411">
        <f t="shared" si="17"/>
        <v>0</v>
      </c>
      <c r="AE15" s="411">
        <f t="shared" si="17"/>
        <v>0</v>
      </c>
      <c r="AF15" s="411">
        <f t="shared" si="17"/>
        <v>2</v>
      </c>
      <c r="AG15" s="411">
        <f t="shared" si="17"/>
        <v>0</v>
      </c>
      <c r="AH15" s="424">
        <f>AV15</f>
        <v>10000</v>
      </c>
      <c r="AI15" s="420">
        <f>(V15*0.2+W15*0.25+Y15*0.4+Z15*0.5+AB15*0.6+AD15*0.75+AE15*0.8+AF15)*BW15</f>
        <v>6534.3</v>
      </c>
      <c r="AJ15" s="326">
        <f t="shared" si="3"/>
        <v>0</v>
      </c>
      <c r="AK15" s="326">
        <f t="shared" si="4"/>
        <v>0</v>
      </c>
      <c r="AL15" s="326">
        <f t="shared" si="5"/>
        <v>0</v>
      </c>
      <c r="AM15" s="326">
        <f t="shared" si="6"/>
        <v>0</v>
      </c>
      <c r="AN15" s="326">
        <f t="shared" si="7"/>
        <v>0</v>
      </c>
      <c r="AO15" s="326">
        <f t="shared" si="8"/>
        <v>0</v>
      </c>
      <c r="AP15" s="326">
        <f t="shared" si="9"/>
        <v>0</v>
      </c>
      <c r="AQ15" s="326">
        <f t="shared" si="10"/>
        <v>0</v>
      </c>
      <c r="AR15" s="326">
        <f t="shared" si="11"/>
        <v>0</v>
      </c>
      <c r="AS15" s="326">
        <f t="shared" si="12"/>
        <v>0</v>
      </c>
      <c r="AT15" s="326">
        <f t="shared" si="13"/>
        <v>10000</v>
      </c>
      <c r="AU15" s="326">
        <f t="shared" si="14"/>
        <v>0</v>
      </c>
      <c r="AV15" s="336">
        <f>SUM(AJ15:AU15)</f>
        <v>10000</v>
      </c>
      <c r="AW15" s="336"/>
      <c r="AX15" s="336"/>
      <c r="AY15" s="288">
        <v>0.47399999999999998</v>
      </c>
      <c r="AZ15" s="3">
        <f>AY15*M15*N15/1000</f>
        <v>2.1813479999999998</v>
      </c>
      <c r="BA15" s="111">
        <f>IF(AND((BM15+BM16)&gt;0,(BM15+BM16)&lt;=1000),1,0)</f>
        <v>0</v>
      </c>
      <c r="BB15" s="113">
        <v>0</v>
      </c>
      <c r="BC15" s="113">
        <v>0</v>
      </c>
      <c r="BD15" s="111">
        <f>IF(AND((BM15+BM16)&gt;1000,(BM15+BM16)&lt;=2000),1,0)</f>
        <v>0</v>
      </c>
      <c r="BE15" s="113">
        <v>0</v>
      </c>
      <c r="BF15" s="113">
        <v>0</v>
      </c>
      <c r="BG15" s="111">
        <f>IF(AND((BM15+BM16)&gt;2000,(BM15+BM16)&lt;=3000),1,0)+IF(AND(BM15&gt;2000,BM15&lt;=3000),1,0)+IF(AND(BM16&gt;2000,BM16&lt;=3000),1,0)</f>
        <v>0</v>
      </c>
      <c r="BH15" s="113">
        <v>0</v>
      </c>
      <c r="BI15" s="113">
        <v>0</v>
      </c>
      <c r="BJ15" s="111">
        <f>IF(AND(BM15&gt;3000,BM15&lt;=4000),1,0)+IF(AND(BM16&gt;3000,BM16&lt;=4000),1,0)+IF(AND((BM15+BM16)&gt;3000,(BM15+BM16)&lt;=4000),1,0)</f>
        <v>0</v>
      </c>
      <c r="BK15" s="111">
        <f>IF(BP15=1,0,IF(AND(BM15&gt;4000,BM15&lt;=4950),1,0)+IF(AND(BM16&gt;4000,BM16&lt;=4950),1,0))+BP15+BN15+BN16</f>
        <v>2</v>
      </c>
      <c r="BL15" s="113">
        <v>0</v>
      </c>
      <c r="BM15" s="139">
        <f>M15*N15-INT($BD$5/M15)*M15*BN15</f>
        <v>0</v>
      </c>
      <c r="BN15" s="111">
        <f>INT(N15/INT($BD$5/M15))</f>
        <v>1</v>
      </c>
      <c r="BO15" s="111"/>
      <c r="BP15" s="111">
        <f>IF(AND((BM15+BM16)&gt;4000,(BM15+BM16)&lt;=5000),1,0)</f>
        <v>0</v>
      </c>
      <c r="BQ15" s="111"/>
      <c r="BR15" s="111"/>
      <c r="BS15" s="111"/>
      <c r="BT15" s="3"/>
      <c r="BU15" s="3"/>
      <c r="BV15" s="3"/>
      <c r="BW15" s="3">
        <f t="array" ref="BW15">INDEX(Цены!J:J,MATCH(J15&amp;$E$8,Цены!C:C&amp;Цены!G:G,0))</f>
        <v>3267.15</v>
      </c>
      <c r="BX15" s="3"/>
      <c r="CH15" s="1" t="s">
        <v>174</v>
      </c>
    </row>
    <row r="16" spans="2:91" ht="25.05" customHeight="1" x14ac:dyDescent="0.3">
      <c r="B16" s="432" t="s">
        <v>169</v>
      </c>
      <c r="C16" s="433"/>
      <c r="D16" s="433"/>
      <c r="E16" s="384">
        <v>0</v>
      </c>
      <c r="F16" s="384"/>
      <c r="G16" s="384"/>
      <c r="H16" s="385"/>
      <c r="J16" s="341" t="s">
        <v>3</v>
      </c>
      <c r="K16" s="18" t="s">
        <v>439</v>
      </c>
      <c r="L16" s="181" t="s">
        <v>252</v>
      </c>
      <c r="M16" s="98">
        <f>N5-78</f>
        <v>767</v>
      </c>
      <c r="N16" s="99">
        <f>E10*2</f>
        <v>6</v>
      </c>
      <c r="O16" s="425"/>
      <c r="P16" s="421"/>
      <c r="Q16" s="41"/>
      <c r="R16" s="41"/>
      <c r="S16" s="402"/>
      <c r="T16" s="199"/>
      <c r="U16" s="322" t="str">
        <f t="shared" si="0"/>
        <v>рамка верхняя Б</v>
      </c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24"/>
      <c r="AI16" s="420"/>
      <c r="AJ16" s="326"/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36"/>
      <c r="AW16" s="336"/>
      <c r="AX16" s="336"/>
      <c r="AY16" s="288">
        <v>0.47399999999999998</v>
      </c>
      <c r="AZ16" s="3">
        <f>AY16*M16*N16/1000</f>
        <v>2.1813479999999998</v>
      </c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M16" s="139">
        <f>M16*N16-INT($BD$5/M16)*M16*BN16</f>
        <v>0</v>
      </c>
      <c r="BN16" s="111">
        <f>INT(N16/INT($BD$5/M16))</f>
        <v>1</v>
      </c>
      <c r="BP16" s="111"/>
      <c r="BQ16" s="111"/>
      <c r="BT16" s="111"/>
      <c r="BU16" s="141"/>
      <c r="BV16" s="121"/>
      <c r="BW16" s="3"/>
      <c r="BX16" s="3"/>
    </row>
    <row r="17" spans="2:84" ht="25.05" customHeight="1" x14ac:dyDescent="0.3">
      <c r="B17" s="466" t="s">
        <v>468</v>
      </c>
      <c r="C17" s="467"/>
      <c r="D17" s="467"/>
      <c r="E17" s="468">
        <v>0</v>
      </c>
      <c r="F17" s="468"/>
      <c r="G17" s="468"/>
      <c r="H17" s="469"/>
      <c r="J17" s="343" t="str">
        <f>E7</f>
        <v>рамка средняя 4в1</v>
      </c>
      <c r="K17" s="267" t="str">
        <f>E7&amp;" А"</f>
        <v>рамка средняя 4в1 А</v>
      </c>
      <c r="L17" s="181" t="str">
        <f>IF(E7=CG6,CH6,CH7)</f>
        <v>FA0716.VP500</v>
      </c>
      <c r="M17" s="98">
        <f>IF(AND(E7=CG7,E6&gt;0),L5-78,IF(AND(E7=CG6,E6&gt;0),L5-76,0))</f>
        <v>0</v>
      </c>
      <c r="N17" s="99">
        <f>E9*E6</f>
        <v>0</v>
      </c>
      <c r="O17" s="425">
        <f>M17*N17+M18*N18</f>
        <v>0</v>
      </c>
      <c r="P17" s="421">
        <f>IF(E7=CG7,BN17+BN18+IF(BM17+BM18&gt;BD5,2,IF(BM17+BM18=0,0,1)),BQ17+BQ18+IF(BP17+BP18&gt;BD7,2,IF(BP17+BP18=0,0,1)))</f>
        <v>0</v>
      </c>
      <c r="Q17" s="193"/>
      <c r="R17" s="193"/>
      <c r="S17" s="402">
        <f>P17*BW17</f>
        <v>0</v>
      </c>
      <c r="U17" s="322" t="str">
        <f t="shared" si="0"/>
        <v>рамка средняя 4в1 А</v>
      </c>
      <c r="V17" s="411">
        <f t="shared" ref="V17:AG17" si="18">IF($Z$3=$CF$21,BA17,IF($Z$3=$CF$27,BA50,IF($Z$3=$CF$28,BA67,BA34)))</f>
        <v>0</v>
      </c>
      <c r="W17" s="411">
        <f t="shared" si="18"/>
        <v>0</v>
      </c>
      <c r="X17" s="411">
        <f t="shared" si="18"/>
        <v>0</v>
      </c>
      <c r="Y17" s="411">
        <f t="shared" si="18"/>
        <v>0</v>
      </c>
      <c r="Z17" s="411">
        <f t="shared" si="18"/>
        <v>0</v>
      </c>
      <c r="AA17" s="411">
        <f t="shared" si="18"/>
        <v>0</v>
      </c>
      <c r="AB17" s="411">
        <f t="shared" si="18"/>
        <v>0</v>
      </c>
      <c r="AC17" s="411">
        <f t="shared" si="18"/>
        <v>0</v>
      </c>
      <c r="AD17" s="411">
        <f t="shared" si="18"/>
        <v>0</v>
      </c>
      <c r="AE17" s="411">
        <f t="shared" si="18"/>
        <v>0</v>
      </c>
      <c r="AF17" s="411">
        <f t="shared" si="18"/>
        <v>0</v>
      </c>
      <c r="AG17" s="411">
        <f t="shared" si="18"/>
        <v>0</v>
      </c>
      <c r="AH17" s="424">
        <f>AV17</f>
        <v>0</v>
      </c>
      <c r="AI17" s="420">
        <f>IF(E7=CG6,AX18,AW18)</f>
        <v>0</v>
      </c>
      <c r="AJ17" s="326">
        <f t="shared" si="3"/>
        <v>0</v>
      </c>
      <c r="AK17" s="326">
        <f t="shared" si="4"/>
        <v>0</v>
      </c>
      <c r="AL17" s="326">
        <f t="shared" si="5"/>
        <v>0</v>
      </c>
      <c r="AM17" s="326">
        <f t="shared" si="6"/>
        <v>0</v>
      </c>
      <c r="AN17" s="326">
        <f t="shared" si="7"/>
        <v>0</v>
      </c>
      <c r="AO17" s="326">
        <f t="shared" si="8"/>
        <v>0</v>
      </c>
      <c r="AP17" s="326">
        <f t="shared" si="9"/>
        <v>0</v>
      </c>
      <c r="AQ17" s="326">
        <f t="shared" si="10"/>
        <v>0</v>
      </c>
      <c r="AR17" s="326">
        <f t="shared" si="11"/>
        <v>0</v>
      </c>
      <c r="AS17" s="326">
        <f t="shared" si="12"/>
        <v>0</v>
      </c>
      <c r="AT17" s="326">
        <f t="shared" si="13"/>
        <v>0</v>
      </c>
      <c r="AU17" s="326">
        <f t="shared" si="14"/>
        <v>0</v>
      </c>
      <c r="AV17" s="336">
        <f>SUM(AJ17:AU17)</f>
        <v>0</v>
      </c>
      <c r="AW17" s="111" t="s">
        <v>259</v>
      </c>
      <c r="AX17" s="141" t="s">
        <v>260</v>
      </c>
      <c r="AY17" s="288">
        <v>0.58499999999999996</v>
      </c>
      <c r="AZ17" s="3">
        <f>AY17*M17*N17/1000</f>
        <v>0</v>
      </c>
      <c r="BA17" s="142">
        <f>IF(E7=CG7,IF(AND((BM17+BM18)&gt;0,(BM17+BM18)&lt;=1000),1,0),0)</f>
        <v>0</v>
      </c>
      <c r="BB17" s="113">
        <v>0</v>
      </c>
      <c r="BC17" s="143">
        <f>IF(E7=CG6,IF(AND((BP17+BP18)&gt;0,(BP17+BP18)&lt;=1800),1,0),0)</f>
        <v>0</v>
      </c>
      <c r="BD17" s="142">
        <f>IF(E7=CG7,IF(AND((BM17+BM18)&gt;1000,(BM17+BM18)&lt;=2000),1,0),0)</f>
        <v>0</v>
      </c>
      <c r="BE17" s="113">
        <v>0</v>
      </c>
      <c r="BF17" s="143">
        <f>IF(E7=CG6,IF(AND((BP17+BP18)&gt;1800,(BP17+BP18)&lt;=2700),1,0),0)</f>
        <v>0</v>
      </c>
      <c r="BG17" s="142">
        <f>IF(E7=CG7,IF(AND(BM19&gt;2000,BM19&lt;=3000),1,0),0)</f>
        <v>0</v>
      </c>
      <c r="BH17" s="143">
        <f>IF(E7=CG6,IF(AND(BP19&gt;2700,BP19&lt;=3600),1,0),0)</f>
        <v>0</v>
      </c>
      <c r="BI17" s="113">
        <v>0</v>
      </c>
      <c r="BJ17" s="142">
        <f>IF(E7=CG7,IF(AND(BM19&gt;3000,BM19&lt;=4000),1,0),0)</f>
        <v>0</v>
      </c>
      <c r="BK17" s="142">
        <f>IF(E7=CG7,IF(AND(BM19&gt;4000,BM19&lt;=4950),BN17+BN18+1,BN17+BN18),0)</f>
        <v>0</v>
      </c>
      <c r="BL17" s="143">
        <f>IF(E7=CG6,IF(AND(BP19&gt;3600,BP19&lt;=5350),BQ17+BQ18+1,BQ17+BQ18),0)</f>
        <v>0</v>
      </c>
      <c r="BM17" s="139">
        <f>IF($E$6&lt;&gt;0,M17*N17-INT($BD$5/M17)*M17*BN17,0)</f>
        <v>0</v>
      </c>
      <c r="BN17" s="111">
        <f>IF(AND($E$7=$CG$7,$E$6&lt;&gt;0),INT(N17/INT($BD$5/M17)),0)</f>
        <v>0</v>
      </c>
      <c r="BO17" s="111"/>
      <c r="BP17" s="111">
        <f>IF($E$6&lt;&gt;0,M17*N17-INT($BD$7/M17)*M17*BQ17,0)</f>
        <v>0</v>
      </c>
      <c r="BQ17" s="111">
        <f>IF(AND($E$7=$CG$6,$E$6&lt;&gt;0),INT(N17/INT($BD$7/M17)),0)</f>
        <v>0</v>
      </c>
      <c r="BR17" s="111"/>
      <c r="BS17" s="111"/>
      <c r="BT17" s="3"/>
      <c r="BU17" s="3"/>
      <c r="BV17" s="3"/>
      <c r="BW17" s="3">
        <f t="array" ref="BW17">INDEX(Цены!J:J,MATCH(J17&amp;$E$8,Цены!C:C&amp;Цены!G:G,0))</f>
        <v>3828.23</v>
      </c>
      <c r="BY17" s="1" t="s">
        <v>177</v>
      </c>
    </row>
    <row r="18" spans="2:84" ht="25.05" customHeight="1" thickBot="1" x14ac:dyDescent="0.35">
      <c r="B18" s="457" t="s">
        <v>163</v>
      </c>
      <c r="C18" s="458"/>
      <c r="D18" s="458"/>
      <c r="E18" s="459" t="s">
        <v>99</v>
      </c>
      <c r="F18" s="459"/>
      <c r="G18" s="459"/>
      <c r="H18" s="460"/>
      <c r="J18" s="343" t="str">
        <f>E7</f>
        <v>рамка средняя 4в1</v>
      </c>
      <c r="K18" s="267" t="str">
        <f>E7&amp;" Б"</f>
        <v>рамка средняя 4в1 Б</v>
      </c>
      <c r="L18" s="314" t="str">
        <f>IF(E7=CG6,CH6,CH7)</f>
        <v>FA0716.VP500</v>
      </c>
      <c r="M18" s="98">
        <f>IF(AND(E7=CG7,E6&gt;0),N5-78,IF(AND(E7=CG6,E6&gt;0),N5-76,0))</f>
        <v>0</v>
      </c>
      <c r="N18" s="99">
        <f>E10*E6</f>
        <v>0</v>
      </c>
      <c r="O18" s="425"/>
      <c r="P18" s="421"/>
      <c r="Q18" s="41"/>
      <c r="R18" s="41"/>
      <c r="S18" s="402"/>
      <c r="T18" s="199"/>
      <c r="U18" s="322" t="str">
        <f t="shared" si="0"/>
        <v>рамка средняя 4в1 Б</v>
      </c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24"/>
      <c r="AI18" s="47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200">
        <f>(V17*0.2+W17*0.25+Y17*0.4+Z17*0.5+AB17*0.6+AD17*0.75+AE17*0.8+AF17)*BW17</f>
        <v>0</v>
      </c>
      <c r="AX18" s="200">
        <f>(X17*0.34+AA17*0.5+AC17*0.67+AG17)*BW17</f>
        <v>0</v>
      </c>
      <c r="AY18" s="288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39">
        <f>IF($E$6&lt;&gt;0,M18*N18-INT($BD$5/M18)*M18*BN18,0)</f>
        <v>0</v>
      </c>
      <c r="BN18" s="111">
        <f>IF(AND($E$7=$CG$7,$E$6&lt;&gt;0),INT(N18/INT($BD$5/M18)),0)</f>
        <v>0</v>
      </c>
      <c r="BO18" s="3"/>
      <c r="BP18" s="111">
        <f>IF($E$6&lt;&gt;0,M18*N18-INT($BD$7/M18)*M18*BQ18,0)</f>
        <v>0</v>
      </c>
      <c r="BQ18" s="111">
        <f>IF(AND($E$7=$CG$6,$E$6&lt;&gt;0),INT(N18/INT($BD$7/M18)),0)</f>
        <v>0</v>
      </c>
      <c r="BR18" s="3"/>
      <c r="BS18" s="3"/>
      <c r="BT18" s="3"/>
      <c r="BU18" s="3"/>
      <c r="BV18" s="3"/>
      <c r="BW18" s="3"/>
      <c r="BY18" s="1" t="s">
        <v>174</v>
      </c>
    </row>
    <row r="19" spans="2:84" ht="25.05" customHeight="1" thickBot="1" x14ac:dyDescent="0.4">
      <c r="B19" s="1" t="s">
        <v>456</v>
      </c>
      <c r="K19" s="9"/>
      <c r="P19" s="8"/>
      <c r="S19" s="108">
        <f>SUM(S9:S18)</f>
        <v>80873.779999999984</v>
      </c>
      <c r="U19" s="256"/>
      <c r="V19" s="461" t="s">
        <v>103</v>
      </c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2"/>
      <c r="AI19" s="108">
        <f>SUM(AI9:AI18)</f>
        <v>80873.779999999984</v>
      </c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289">
        <v>0.33600000000000002</v>
      </c>
      <c r="AZ19" s="3">
        <f>AY19*M17*N17/1000</f>
        <v>0</v>
      </c>
      <c r="BA19" s="324"/>
      <c r="BB19" s="1" t="s">
        <v>515</v>
      </c>
      <c r="BM19" s="139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48"/>
      <c r="C20" s="49"/>
      <c r="D20" s="49"/>
      <c r="E20" s="49"/>
      <c r="F20" s="49"/>
      <c r="G20" s="49"/>
      <c r="H20" s="281" t="s">
        <v>447</v>
      </c>
      <c r="K20" s="9"/>
      <c r="P20" s="8"/>
      <c r="T20" s="200"/>
      <c r="AY20" s="290">
        <v>0.33600000000000002</v>
      </c>
      <c r="AZ20" s="3">
        <f>AY20*M18*N18/1000</f>
        <v>0</v>
      </c>
      <c r="BA20" s="325"/>
      <c r="BB20" s="3" t="s">
        <v>516</v>
      </c>
      <c r="BM20" s="471" t="s">
        <v>519</v>
      </c>
      <c r="BN20" s="471"/>
      <c r="BP20" s="471" t="s">
        <v>443</v>
      </c>
      <c r="BQ20" s="471"/>
      <c r="BY20" s="1" t="s">
        <v>85</v>
      </c>
    </row>
    <row r="21" spans="2:84" ht="25.05" customHeight="1" thickBot="1" x14ac:dyDescent="0.35">
      <c r="B21" s="156" t="s">
        <v>107</v>
      </c>
      <c r="C21" s="52">
        <f>E6+1</f>
        <v>1</v>
      </c>
      <c r="D21" s="53" t="str">
        <f>IF(C21&gt;5,BY33,BY34)</f>
        <v xml:space="preserve"> </v>
      </c>
      <c r="E21" s="82"/>
      <c r="F21" s="82"/>
      <c r="G21" s="82"/>
      <c r="H21" s="54"/>
      <c r="K21" s="208"/>
      <c r="L21" s="209"/>
      <c r="M21" s="271"/>
      <c r="N21" s="271"/>
      <c r="O21" s="209"/>
      <c r="P21" s="210"/>
      <c r="Q21" s="189"/>
      <c r="R21" s="211"/>
      <c r="AC21" s="398" t="s">
        <v>102</v>
      </c>
      <c r="AD21" s="398"/>
      <c r="AE21" s="398"/>
      <c r="AF21" s="398"/>
      <c r="AG21" s="398"/>
      <c r="AH21" s="398"/>
      <c r="AI21" s="207">
        <f>AI19+S46+H30</f>
        <v>126136.16999999997</v>
      </c>
      <c r="AY21" s="276" t="s">
        <v>444</v>
      </c>
      <c r="AZ21" s="277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418</v>
      </c>
    </row>
    <row r="22" spans="2:84" ht="25.05" customHeight="1" thickBot="1" x14ac:dyDescent="0.35">
      <c r="B22" s="56"/>
      <c r="C22" s="57"/>
      <c r="D22" s="57"/>
      <c r="E22" s="57"/>
      <c r="F22" s="57"/>
      <c r="G22" s="57"/>
      <c r="H22" s="58"/>
      <c r="K22" s="9"/>
      <c r="P22" s="8"/>
      <c r="AY22" s="120" t="s">
        <v>445</v>
      </c>
      <c r="AZ22" s="109">
        <f>IF(E7=CG6,AZ10/2+(AZ9/P9*E10+AZ16+AZ20)/E10,AZ10/2+(AZ9/P9*E10+AZ16+AZ18)/E10)</f>
        <v>5.1695760000000002</v>
      </c>
      <c r="CF22" s="1" t="s">
        <v>423</v>
      </c>
    </row>
    <row r="23" spans="2:84" ht="25.05" customHeight="1" thickBot="1" x14ac:dyDescent="0.35">
      <c r="B23" s="56"/>
      <c r="C23" s="57"/>
      <c r="D23" s="57"/>
      <c r="E23" s="57"/>
      <c r="F23" s="57"/>
      <c r="G23" s="57"/>
      <c r="H23" s="58"/>
      <c r="K23" s="319" t="s">
        <v>180</v>
      </c>
      <c r="L23" s="259"/>
      <c r="M23" s="221"/>
      <c r="P23" s="8"/>
      <c r="BA23" s="3"/>
      <c r="BB23" s="3"/>
      <c r="BC23" s="3"/>
      <c r="BD23" s="3"/>
      <c r="BE23" s="3"/>
      <c r="BF23" s="186" t="s">
        <v>424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420</v>
      </c>
    </row>
    <row r="24" spans="2:84" ht="25.05" customHeight="1" x14ac:dyDescent="0.3">
      <c r="B24" s="59" t="s">
        <v>108</v>
      </c>
      <c r="C24" s="262" t="s">
        <v>109</v>
      </c>
      <c r="D24" s="60" t="s">
        <v>78</v>
      </c>
      <c r="E24" s="262" t="s">
        <v>110</v>
      </c>
      <c r="F24" s="262" t="s">
        <v>111</v>
      </c>
      <c r="G24" s="262" t="s">
        <v>127</v>
      </c>
      <c r="H24" s="61" t="s">
        <v>128</v>
      </c>
      <c r="K24" s="463" t="s">
        <v>0</v>
      </c>
      <c r="L24" s="464"/>
      <c r="M24" s="464"/>
      <c r="N24" s="465"/>
      <c r="O24" s="317" t="s">
        <v>1</v>
      </c>
      <c r="P24" s="184" t="s">
        <v>8</v>
      </c>
      <c r="Q24" s="110"/>
      <c r="R24" s="110"/>
      <c r="S24" s="205" t="s">
        <v>24</v>
      </c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239">
        <f>IF(E25&lt;&gt;0,1,0)</f>
        <v>1</v>
      </c>
      <c r="CF24" s="1" t="s">
        <v>421</v>
      </c>
    </row>
    <row r="25" spans="2:84" ht="25.05" customHeight="1" x14ac:dyDescent="0.3">
      <c r="B25" s="62" t="s">
        <v>112</v>
      </c>
      <c r="C25" s="11" t="s">
        <v>12</v>
      </c>
      <c r="D25" s="80">
        <v>0</v>
      </c>
      <c r="E25" s="12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63">
        <f>IF(C25=$BY$29,$L$5-63,IF(C25=$BY$28,$L$5-62,$L$5-60))</f>
        <v>782</v>
      </c>
      <c r="G25" s="64">
        <f>$E$9</f>
        <v>3</v>
      </c>
      <c r="H25" s="65">
        <f>E25*F25*D25*G25/1000000</f>
        <v>0</v>
      </c>
      <c r="K25" s="406" t="s">
        <v>160</v>
      </c>
      <c r="L25" s="407"/>
      <c r="M25" s="407"/>
      <c r="N25" s="408"/>
      <c r="O25" s="158" t="s">
        <v>216</v>
      </c>
      <c r="P25" s="176">
        <f>E9+E10</f>
        <v>6</v>
      </c>
      <c r="Q25" s="192"/>
      <c r="R25" s="192"/>
      <c r="S25" s="206">
        <f>P25*Цены!J151</f>
        <v>19744.02</v>
      </c>
      <c r="U25" s="110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9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BA25" s="81">
        <v>1000</v>
      </c>
      <c r="BB25" s="81">
        <v>1250</v>
      </c>
      <c r="BC25" s="81">
        <v>1800</v>
      </c>
      <c r="BD25" s="81">
        <v>2000</v>
      </c>
      <c r="BE25" s="81">
        <v>2500</v>
      </c>
      <c r="BF25" s="81">
        <v>2700</v>
      </c>
      <c r="BG25" s="81">
        <v>3000</v>
      </c>
      <c r="BH25" s="81">
        <v>3600</v>
      </c>
      <c r="BI25" s="81">
        <v>3750</v>
      </c>
      <c r="BJ25" s="81">
        <v>4000</v>
      </c>
      <c r="BK25" s="81">
        <v>5000</v>
      </c>
      <c r="BL25" s="112">
        <v>5400</v>
      </c>
      <c r="BM25" s="140"/>
      <c r="BN25" s="139"/>
      <c r="BO25" s="139"/>
      <c r="BP25" s="139"/>
      <c r="BQ25" s="139"/>
      <c r="BR25" s="139"/>
      <c r="BS25" s="139"/>
      <c r="CE25" s="239">
        <f>IF(E26&lt;&gt;0,1,0)</f>
        <v>0</v>
      </c>
      <c r="CF25" s="1" t="s">
        <v>422</v>
      </c>
    </row>
    <row r="26" spans="2:84" ht="25.05" customHeight="1" x14ac:dyDescent="0.3">
      <c r="B26" s="62" t="s">
        <v>113</v>
      </c>
      <c r="C26" s="11" t="s">
        <v>12</v>
      </c>
      <c r="D26" s="80">
        <v>0</v>
      </c>
      <c r="E26" s="13">
        <v>0</v>
      </c>
      <c r="F26" s="63">
        <f>IF(C26=$BY$29,$L$5-63,IF(C26=$BY$28,$L$5-62,$L$5-60))</f>
        <v>782</v>
      </c>
      <c r="G26" s="64">
        <f>IF(E26&lt;&gt;0,$E$9,0)</f>
        <v>0</v>
      </c>
      <c r="H26" s="65">
        <f t="shared" ref="H26:H29" si="19">E26*F26*D26*G26/1000000</f>
        <v>0</v>
      </c>
      <c r="K26" s="409" t="s">
        <v>67</v>
      </c>
      <c r="L26" s="410"/>
      <c r="M26" s="410"/>
      <c r="N26" s="410"/>
      <c r="O26" s="158" t="s">
        <v>217</v>
      </c>
      <c r="P26" s="176">
        <f>IF(OR(E9=1,E10=1),5,6)</f>
        <v>6</v>
      </c>
      <c r="Q26" s="192"/>
      <c r="R26" s="192"/>
      <c r="S26" s="206">
        <f>P26*Цены!J153</f>
        <v>1135.6200000000001</v>
      </c>
      <c r="U26" s="244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Z26" s="3"/>
      <c r="BA26" s="111">
        <v>0</v>
      </c>
      <c r="BB26" s="111">
        <v>0</v>
      </c>
      <c r="BC26" s="111">
        <v>0</v>
      </c>
      <c r="BD26" s="111">
        <v>0</v>
      </c>
      <c r="BE26" s="111">
        <v>0</v>
      </c>
      <c r="BF26" s="111">
        <v>0</v>
      </c>
      <c r="BG26" s="111">
        <v>0</v>
      </c>
      <c r="BH26" s="111">
        <v>0</v>
      </c>
      <c r="BI26" s="111">
        <v>0</v>
      </c>
      <c r="BJ26" s="111">
        <v>0</v>
      </c>
      <c r="BK26" s="111">
        <v>0</v>
      </c>
      <c r="BL26" s="250">
        <f>BL9</f>
        <v>6</v>
      </c>
      <c r="BM26" s="111"/>
      <c r="BN26" s="111"/>
      <c r="BO26" s="111"/>
      <c r="BP26" s="111"/>
      <c r="BQ26" s="111"/>
      <c r="BR26" s="111"/>
      <c r="BS26" s="111"/>
      <c r="CE26" s="239">
        <f>IF(E27&lt;&gt;0,1,0)</f>
        <v>0</v>
      </c>
      <c r="CF26" s="1" t="s">
        <v>419</v>
      </c>
    </row>
    <row r="27" spans="2:84" ht="25.05" customHeight="1" x14ac:dyDescent="0.3">
      <c r="B27" s="62" t="s">
        <v>114</v>
      </c>
      <c r="C27" s="11" t="s">
        <v>12</v>
      </c>
      <c r="D27" s="80">
        <v>0</v>
      </c>
      <c r="E27" s="13">
        <v>0</v>
      </c>
      <c r="F27" s="63">
        <f>IF(C27=$BY$29,$L$5-63,IF(C27=$BY$28,$L$5-62,$L$5-60))</f>
        <v>782</v>
      </c>
      <c r="G27" s="64">
        <f>IF(E27&lt;&gt;0,$E$9,0)</f>
        <v>0</v>
      </c>
      <c r="H27" s="65">
        <f t="shared" si="19"/>
        <v>0</v>
      </c>
      <c r="K27" s="409" t="s">
        <v>73</v>
      </c>
      <c r="L27" s="410"/>
      <c r="M27" s="410"/>
      <c r="N27" s="410"/>
      <c r="O27" s="158" t="s">
        <v>218</v>
      </c>
      <c r="P27" s="176">
        <f>IF(AND(P33&gt;0,OR(E11=BY23,E12=BY23)),0,IF(E12=BY23,1,2))</f>
        <v>0</v>
      </c>
      <c r="Q27" s="192"/>
      <c r="R27" s="192"/>
      <c r="S27" s="206">
        <f>P27*Цены!J159</f>
        <v>0</v>
      </c>
      <c r="U27" s="244"/>
      <c r="AG27" s="191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BA27" s="111">
        <v>0</v>
      </c>
      <c r="BB27" s="111">
        <v>0</v>
      </c>
      <c r="BC27" s="111">
        <v>0</v>
      </c>
      <c r="BD27" s="111">
        <v>0</v>
      </c>
      <c r="BE27" s="111">
        <v>0</v>
      </c>
      <c r="BF27" s="111">
        <v>0</v>
      </c>
      <c r="BG27" s="111">
        <v>0</v>
      </c>
      <c r="BH27" s="111">
        <v>0</v>
      </c>
      <c r="BI27" s="111">
        <v>0</v>
      </c>
      <c r="BJ27" s="111">
        <v>0</v>
      </c>
      <c r="BK27" s="111">
        <v>0</v>
      </c>
      <c r="BL27" s="250">
        <f>BL10</f>
        <v>1</v>
      </c>
      <c r="BY27" s="55" t="s">
        <v>10</v>
      </c>
      <c r="CE27" s="239">
        <f>IF(E28&lt;&gt;0,1,0)</f>
        <v>0</v>
      </c>
      <c r="CF27" s="1" t="s">
        <v>520</v>
      </c>
    </row>
    <row r="28" spans="2:84" ht="25.05" customHeight="1" x14ac:dyDescent="0.3">
      <c r="B28" s="62" t="s">
        <v>115</v>
      </c>
      <c r="C28" s="11" t="s">
        <v>12</v>
      </c>
      <c r="D28" s="80">
        <v>0</v>
      </c>
      <c r="E28" s="13">
        <v>0</v>
      </c>
      <c r="F28" s="63">
        <f>IF(C28=$BY$29,$L$5-63,IF(C28=$BY$28,$L$5-62,$L$5-60))</f>
        <v>782</v>
      </c>
      <c r="G28" s="64">
        <f>IF(E28&lt;&gt;0,$E$9,0)</f>
        <v>0</v>
      </c>
      <c r="H28" s="65">
        <f t="shared" si="19"/>
        <v>0</v>
      </c>
      <c r="K28" s="412" t="s">
        <v>74</v>
      </c>
      <c r="L28" s="413"/>
      <c r="M28" s="413"/>
      <c r="N28" s="413"/>
      <c r="O28" s="110" t="s">
        <v>226</v>
      </c>
      <c r="P28" s="269">
        <f>P33+2</f>
        <v>6</v>
      </c>
      <c r="Q28" s="193"/>
      <c r="R28" s="193"/>
      <c r="S28" s="206">
        <f>P28*Цены!J160</f>
        <v>802.31999999999994</v>
      </c>
      <c r="T28" s="187"/>
      <c r="U28" s="24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15"/>
      <c r="AI28" s="83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BA28" s="113">
        <v>0</v>
      </c>
      <c r="BB28" s="113">
        <v>0</v>
      </c>
      <c r="BC28" s="113">
        <v>0</v>
      </c>
      <c r="BD28" s="113">
        <v>0</v>
      </c>
      <c r="BE28" s="111">
        <f>IF(AND((E21+E22)&gt;BD5,BP28=1),1,0)</f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1">
        <f>IF(E4+E5&lt;=4950,BR28,IF(AND(BM28&gt;2500,BM28&lt;=4950),BN28+1,BN28)+IF(AND(BM29&gt;2500,BM29&lt;=4950),BN29+1,BN29)+IF(BP28=2,1,0))</f>
        <v>6</v>
      </c>
      <c r="BL28" s="113">
        <v>0</v>
      </c>
      <c r="BM28" s="139">
        <f t="shared" ref="BM28:BN33" si="20">BM11</f>
        <v>0</v>
      </c>
      <c r="BN28" s="139">
        <f t="shared" si="20"/>
        <v>3</v>
      </c>
      <c r="BO28" s="139"/>
      <c r="BP28" s="139">
        <f>BP11</f>
        <v>0</v>
      </c>
      <c r="BQ28" s="139"/>
      <c r="BR28" s="139">
        <f>BR11</f>
        <v>4</v>
      </c>
      <c r="BS28" s="111"/>
      <c r="BY28" s="55" t="s">
        <v>11</v>
      </c>
      <c r="CE28" s="239">
        <f>IF(E29&lt;&gt;0,1,0)</f>
        <v>0</v>
      </c>
      <c r="CF28" s="1" t="s">
        <v>518</v>
      </c>
    </row>
    <row r="29" spans="2:84" ht="25.05" customHeight="1" thickBot="1" x14ac:dyDescent="0.35">
      <c r="B29" s="68" t="s">
        <v>116</v>
      </c>
      <c r="C29" s="11" t="s">
        <v>12</v>
      </c>
      <c r="D29" s="80">
        <v>0</v>
      </c>
      <c r="E29" s="13">
        <v>0</v>
      </c>
      <c r="F29" s="63">
        <f>IF(C29=$BY$29,$L$5-63,IF(C29=$BY$28,$L$5-62,$L$5-60))</f>
        <v>782</v>
      </c>
      <c r="G29" s="64">
        <f>IF(E29&lt;&gt;0,$E$9,0)</f>
        <v>0</v>
      </c>
      <c r="H29" s="65">
        <f t="shared" si="19"/>
        <v>0</v>
      </c>
      <c r="K29" s="409" t="s">
        <v>22</v>
      </c>
      <c r="L29" s="410"/>
      <c r="M29" s="410"/>
      <c r="N29" s="410"/>
      <c r="O29" s="158" t="s">
        <v>219</v>
      </c>
      <c r="P29" s="177">
        <f>IF(AND(E9&gt;1,E10&gt;1,E12=BY23),2,0)</f>
        <v>0</v>
      </c>
      <c r="Q29" s="194"/>
      <c r="R29" s="194"/>
      <c r="S29" s="206">
        <f>P29*Цены!J130</f>
        <v>0</v>
      </c>
      <c r="T29" s="187"/>
      <c r="U29" s="24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15"/>
      <c r="AI29" s="83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BM29" s="139">
        <f t="shared" si="20"/>
        <v>0</v>
      </c>
      <c r="BN29" s="139">
        <f t="shared" si="20"/>
        <v>3</v>
      </c>
      <c r="BO29" s="139"/>
      <c r="BP29" s="139"/>
      <c r="BQ29" s="139"/>
      <c r="BR29" s="139"/>
      <c r="BY29" s="55" t="s">
        <v>12</v>
      </c>
    </row>
    <row r="30" spans="2:84" ht="25.05" customHeight="1" thickBot="1" x14ac:dyDescent="0.35">
      <c r="B30" s="56"/>
      <c r="C30" s="57"/>
      <c r="D30" s="57"/>
      <c r="E30" s="451" t="s">
        <v>79</v>
      </c>
      <c r="F30" s="452"/>
      <c r="G30" s="453"/>
      <c r="H30" s="69">
        <f>SUM(H25:H29)</f>
        <v>0</v>
      </c>
      <c r="K30" s="412" t="s">
        <v>245</v>
      </c>
      <c r="L30" s="413"/>
      <c r="M30" s="413"/>
      <c r="N30" s="413"/>
      <c r="O30" s="158" t="s">
        <v>243</v>
      </c>
      <c r="P30" s="177">
        <f>IF(AND(E9&gt;2,E11=BY23),E9-2,0)+IF(AND(E10&gt;2,E11=BY23),E10-2,0)</f>
        <v>2</v>
      </c>
      <c r="Q30" s="194"/>
      <c r="R30" s="194"/>
      <c r="S30" s="206">
        <f>P30*Цены!J131</f>
        <v>8617.56</v>
      </c>
      <c r="T30" s="187"/>
      <c r="U30" s="24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15"/>
      <c r="AI30" s="83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44"/>
      <c r="AZ30" s="44"/>
      <c r="BA30" s="113">
        <v>0</v>
      </c>
      <c r="BB30" s="113">
        <v>0</v>
      </c>
      <c r="BC30" s="113">
        <v>0</v>
      </c>
      <c r="BD30" s="113">
        <v>0</v>
      </c>
      <c r="BE30" s="111">
        <f t="shared" ref="BE30" si="21">IF(BP30=1,1,0)</f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1">
        <f>IF(E4+E5&lt;=5025,BR30,IF(AND(BM30&gt;2500,BM30&lt;=5025),BN30+1,BN30)+IF(AND(BM31&gt;2500,BM31&lt;=5025),BN31+1,BN31)+IF(BP30=2,1,0))</f>
        <v>2</v>
      </c>
      <c r="BL30" s="113">
        <v>0</v>
      </c>
      <c r="BM30" s="139">
        <f t="shared" si="20"/>
        <v>0</v>
      </c>
      <c r="BN30" s="139">
        <f t="shared" si="20"/>
        <v>1</v>
      </c>
      <c r="BO30" s="139"/>
      <c r="BP30" s="139">
        <f>BP13</f>
        <v>0</v>
      </c>
      <c r="BQ30" s="139"/>
      <c r="BR30" s="139">
        <f>BR13</f>
        <v>2</v>
      </c>
      <c r="BS30" s="111"/>
    </row>
    <row r="31" spans="2:84" ht="25.05" customHeight="1" thickBot="1" x14ac:dyDescent="0.35">
      <c r="B31" s="56"/>
      <c r="C31" s="70" t="str">
        <f>IF((SUM(CE24:CE28)/C21)&lt;&gt;1,BY43,BY44)</f>
        <v>Верно внесены высоты вставок</v>
      </c>
      <c r="D31" s="82">
        <f>IF(C31=BY44,1,0)</f>
        <v>1</v>
      </c>
      <c r="E31" s="82"/>
      <c r="F31" s="82"/>
      <c r="G31" s="82"/>
      <c r="H31" s="58"/>
      <c r="K31" s="392" t="s">
        <v>246</v>
      </c>
      <c r="L31" s="393"/>
      <c r="M31" s="393"/>
      <c r="N31" s="393"/>
      <c r="O31" s="158" t="s">
        <v>247</v>
      </c>
      <c r="P31" s="178">
        <f>IF(P30&gt;0,IF(E9&gt;2,1,0)+IF(E10&gt;2,1,0),0)</f>
        <v>2</v>
      </c>
      <c r="Q31" s="195"/>
      <c r="R31" s="195"/>
      <c r="S31" s="206">
        <f>P31*Цены!J132</f>
        <v>3548.38</v>
      </c>
      <c r="T31" s="187"/>
      <c r="U31" s="24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15"/>
      <c r="AI31" s="83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44"/>
      <c r="AZ31" s="44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39">
        <f t="shared" si="20"/>
        <v>0</v>
      </c>
      <c r="BN31" s="139">
        <f t="shared" si="20"/>
        <v>1</v>
      </c>
      <c r="BO31" s="139"/>
      <c r="BP31" s="139"/>
      <c r="BQ31" s="139"/>
      <c r="BR31" s="139"/>
      <c r="BS31" s="111"/>
    </row>
    <row r="32" spans="2:84" ht="25.05" customHeight="1" thickBot="1" x14ac:dyDescent="0.35">
      <c r="B32" s="56"/>
      <c r="C32" s="57"/>
      <c r="D32" s="57"/>
      <c r="E32" s="57"/>
      <c r="F32" s="57"/>
      <c r="G32" s="260" t="s">
        <v>261</v>
      </c>
      <c r="H32" s="117">
        <f>ROUNDUP((AZ21+AZ46)*1.1,0)</f>
        <v>30</v>
      </c>
      <c r="K32" s="412" t="s">
        <v>250</v>
      </c>
      <c r="L32" s="413"/>
      <c r="M32" s="413"/>
      <c r="N32" s="413"/>
      <c r="O32" s="158" t="s">
        <v>251</v>
      </c>
      <c r="P32" s="177">
        <f>IF(E9&gt;E10,E9-2,E10-2)</f>
        <v>1</v>
      </c>
      <c r="Q32" s="194"/>
      <c r="R32" s="194"/>
      <c r="S32" s="206">
        <f>P32*Цены!J119</f>
        <v>210.59</v>
      </c>
      <c r="T32" s="187"/>
      <c r="U32" s="24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15"/>
      <c r="AI32" s="83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"/>
      <c r="AZ32" s="3"/>
      <c r="BA32" s="113">
        <v>0</v>
      </c>
      <c r="BB32" s="111">
        <f>IF(AND((BM32+BM33)&gt;0,(BM32+BM33)&lt;=1250),1,0)</f>
        <v>0</v>
      </c>
      <c r="BC32" s="113">
        <v>0</v>
      </c>
      <c r="BD32" s="113">
        <v>0</v>
      </c>
      <c r="BE32" s="111">
        <f>IF(AND((BM32+BM33)&gt;1250,(BM32+BM33)&lt;=2500),1,0)</f>
        <v>0</v>
      </c>
      <c r="BF32" s="113">
        <v>0</v>
      </c>
      <c r="BG32" s="113">
        <v>0</v>
      </c>
      <c r="BH32" s="113">
        <v>0</v>
      </c>
      <c r="BI32" s="111">
        <f>IF(AND(BM32&gt;2500,BM32&lt;=3750),1,0)+IF(AND(BM33&gt;2500,BM33&lt;=3750),1,0)+IF(AND((BM32+BM33)&gt;2500,(BM32+BM33)&lt;=3750),1,0)</f>
        <v>0</v>
      </c>
      <c r="BJ32" s="113">
        <v>0</v>
      </c>
      <c r="BK32" s="111">
        <f>IF(BP32=1,0,IF(AND(BM32&gt;3750,BM32&lt;=4950),1,0)+IF(AND(BM33&gt;3750,BM33&lt;=4950),1,0))+BP32+BN32+BN33</f>
        <v>2</v>
      </c>
      <c r="BL32" s="113">
        <v>0</v>
      </c>
      <c r="BM32" s="139">
        <f t="shared" si="20"/>
        <v>0</v>
      </c>
      <c r="BN32" s="139">
        <f t="shared" si="20"/>
        <v>1</v>
      </c>
      <c r="BO32" s="139"/>
      <c r="BP32" s="139">
        <f>IF(AND((BM32+BM33)&gt;3750,(BM32+BM33)&lt;=5000),1,0)</f>
        <v>0</v>
      </c>
      <c r="BQ32" s="139"/>
      <c r="BR32" s="139"/>
      <c r="BS32" s="111"/>
    </row>
    <row r="33" spans="2:83" ht="25.05" customHeight="1" thickBot="1" x14ac:dyDescent="0.35">
      <c r="B33" s="278"/>
      <c r="C33" s="279" t="str">
        <f>IF(AND(SUM(CE24:CE28)/C21=1,E29=0,C21&lt;&gt;1),BY47,BY48)</f>
        <v xml:space="preserve"> </v>
      </c>
      <c r="D33" s="280"/>
      <c r="E33" s="279"/>
      <c r="F33" s="279"/>
      <c r="G33" s="120"/>
      <c r="H33" s="109"/>
      <c r="K33" s="412" t="s">
        <v>42</v>
      </c>
      <c r="L33" s="413"/>
      <c r="M33" s="413"/>
      <c r="N33" s="413"/>
      <c r="O33" s="158" t="s">
        <v>221</v>
      </c>
      <c r="P33" s="177">
        <f>IF(E15=BY24,0,
(IF(L5&lt;650,0,
IF(E11=BY23,2,E9-1))+
(IF(N5&lt;650,0,
IF(E11=BY23,2,E10-1)))))</f>
        <v>4</v>
      </c>
      <c r="Q33" s="194"/>
      <c r="R33" s="194"/>
      <c r="S33" s="206">
        <f>P33*Цены!J105</f>
        <v>8755.2800000000007</v>
      </c>
      <c r="T33" s="187"/>
      <c r="U33" s="24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15"/>
      <c r="AI33" s="83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"/>
      <c r="BM33" s="139">
        <f t="shared" si="20"/>
        <v>0</v>
      </c>
      <c r="BN33" s="139">
        <f t="shared" si="20"/>
        <v>1</v>
      </c>
      <c r="BO33" s="139"/>
      <c r="BP33" s="139"/>
      <c r="BQ33" s="139"/>
      <c r="BR33" s="139"/>
      <c r="BS33" s="139"/>
      <c r="BT33" s="111"/>
      <c r="BU33" s="141"/>
      <c r="BV33" s="121"/>
      <c r="BW33" s="121"/>
      <c r="BY33" s="57" t="s">
        <v>117</v>
      </c>
    </row>
    <row r="34" spans="2:83" ht="25.05" customHeight="1" thickBot="1" x14ac:dyDescent="0.35">
      <c r="B34" s="57"/>
      <c r="C34" s="57"/>
      <c r="D34" s="57"/>
      <c r="E34" s="57"/>
      <c r="F34" s="57"/>
      <c r="G34" s="57"/>
      <c r="H34" s="57"/>
      <c r="K34" s="412" t="s">
        <v>125</v>
      </c>
      <c r="L34" s="413"/>
      <c r="M34" s="413"/>
      <c r="N34" s="413"/>
      <c r="O34" s="158" t="s">
        <v>220</v>
      </c>
      <c r="P34" s="177">
        <f>IF(AND(E14=BY23,OR(E9=1,E10=1)),1,IF(AND(E14=BY23,AND(E9&gt;1,E10&gt;1)),2,0))</f>
        <v>0</v>
      </c>
      <c r="Q34" s="194"/>
      <c r="R34" s="194"/>
      <c r="S34" s="206">
        <f>P34*Цены!J154</f>
        <v>0</v>
      </c>
      <c r="T34" s="187"/>
      <c r="U34" s="24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15"/>
      <c r="AI34" s="83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"/>
      <c r="BA34" s="113">
        <v>0</v>
      </c>
      <c r="BB34" s="142">
        <f>IF(E7=CG7,IF(AND((BM17+BM18)&gt;0,(BM17+BM18)&lt;=1250),1,0),0)</f>
        <v>0</v>
      </c>
      <c r="BC34" s="143">
        <f>IF(E7=CG6,IF(AND((BP34+BP35)&gt;0,(BP34+BP35)&lt;=1800),1,0),0)</f>
        <v>0</v>
      </c>
      <c r="BD34" s="113">
        <v>0</v>
      </c>
      <c r="BE34" s="142">
        <f>IF(E7=CG7,IF(AND((BM17+BM18)&gt;1250,(BM17+BM18)&lt;=2500),1,0),0)</f>
        <v>0</v>
      </c>
      <c r="BF34" s="143">
        <f>IF(E7=CG6,IF(AND((BP34+BP35)&gt;1800,(BP34+BP35)&lt;=2700),1,0),0)</f>
        <v>0</v>
      </c>
      <c r="BG34" s="113">
        <v>0</v>
      </c>
      <c r="BH34" s="143">
        <f>IF(E7=CG6,IF(AND(BP36&gt;2700,BP36&lt;=3600),1,0),0)</f>
        <v>0</v>
      </c>
      <c r="BI34" s="142">
        <f>IF(E7=CG7,IF(AND(BM36&gt;2500,BM36&lt;=3750),1,0),0)</f>
        <v>0</v>
      </c>
      <c r="BJ34" s="113">
        <v>0</v>
      </c>
      <c r="BK34" s="142">
        <f>IF(E7=CG7,IF(AND(BM19&gt;4000,BM19&lt;=4950),BN17+BN18+1,BN17+BN18),0)</f>
        <v>0</v>
      </c>
      <c r="BL34" s="143">
        <f>IF(E7=CG6,IF(AND(BP19&gt;3600,BP19&lt;=5350),BQ17+BQ18+1,BQ17+BQ18),0)</f>
        <v>0</v>
      </c>
      <c r="BM34" s="139">
        <f>BM17</f>
        <v>0</v>
      </c>
      <c r="BN34" s="139">
        <f>BN17</f>
        <v>0</v>
      </c>
      <c r="BO34" s="139"/>
      <c r="BP34" s="139">
        <f>BP17</f>
        <v>0</v>
      </c>
      <c r="BQ34" s="139">
        <f>BQ17</f>
        <v>0</v>
      </c>
      <c r="BR34" s="139"/>
      <c r="BS34" s="139"/>
      <c r="BY34" s="57" t="s">
        <v>94</v>
      </c>
    </row>
    <row r="35" spans="2:83" ht="25.05" customHeight="1" thickBot="1" x14ac:dyDescent="0.35">
      <c r="B35" s="48"/>
      <c r="C35" s="49"/>
      <c r="D35" s="49"/>
      <c r="E35" s="49"/>
      <c r="F35" s="49"/>
      <c r="G35" s="49"/>
      <c r="H35" s="281" t="s">
        <v>445</v>
      </c>
      <c r="K35" s="412" t="s">
        <v>222</v>
      </c>
      <c r="L35" s="413"/>
      <c r="M35" s="413"/>
      <c r="N35" s="413"/>
      <c r="O35" s="158" t="s">
        <v>192</v>
      </c>
      <c r="P35" s="177">
        <f>SUM(N15:N18)*2</f>
        <v>24</v>
      </c>
      <c r="Q35" s="194"/>
      <c r="R35" s="194"/>
      <c r="S35" s="206">
        <f>P35*Цены!J186</f>
        <v>249.60000000000002</v>
      </c>
      <c r="T35" s="187"/>
      <c r="U35" s="24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15"/>
      <c r="AI35" s="83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"/>
      <c r="BM35" s="139">
        <f>BM18</f>
        <v>0</v>
      </c>
      <c r="BN35" s="139">
        <f>BN18</f>
        <v>0</v>
      </c>
      <c r="BO35" s="139"/>
      <c r="BP35" s="139">
        <f>BP18</f>
        <v>0</v>
      </c>
      <c r="BQ35" s="139">
        <f>BQ18</f>
        <v>0</v>
      </c>
      <c r="BR35" s="139"/>
      <c r="BT35" s="3"/>
      <c r="BU35" s="3"/>
      <c r="BV35" s="3"/>
      <c r="BW35" s="3"/>
    </row>
    <row r="36" spans="2:83" ht="25.05" customHeight="1" thickBot="1" x14ac:dyDescent="0.35">
      <c r="B36" s="156" t="s">
        <v>107</v>
      </c>
      <c r="C36" s="52">
        <f>E6+1</f>
        <v>1</v>
      </c>
      <c r="D36" s="53" t="str">
        <f>IF(C21&gt;5,BY33,BY34)</f>
        <v xml:space="preserve"> </v>
      </c>
      <c r="E36" s="82"/>
      <c r="F36" s="82"/>
      <c r="G36" s="82"/>
      <c r="H36" s="54"/>
      <c r="K36" s="412" t="s">
        <v>82</v>
      </c>
      <c r="L36" s="413"/>
      <c r="M36" s="413"/>
      <c r="N36" s="413"/>
      <c r="O36" s="158" t="s">
        <v>254</v>
      </c>
      <c r="P36" s="179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196"/>
      <c r="R36" s="196"/>
      <c r="S36" s="206">
        <f>P36*Цены!J179</f>
        <v>0</v>
      </c>
      <c r="T36" s="187"/>
      <c r="U36" s="187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BM36" s="139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2:83" ht="25.05" customHeight="1" x14ac:dyDescent="0.3">
      <c r="B37" s="56"/>
      <c r="C37" s="57"/>
      <c r="D37" s="57"/>
      <c r="E37" s="57"/>
      <c r="F37" s="57"/>
      <c r="G37" s="57"/>
      <c r="H37" s="58"/>
      <c r="K37" s="412" t="s">
        <v>84</v>
      </c>
      <c r="L37" s="413"/>
      <c r="M37" s="413"/>
      <c r="N37" s="413"/>
      <c r="O37" s="158" t="s">
        <v>193</v>
      </c>
      <c r="P37" s="179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196"/>
      <c r="R37" s="196"/>
      <c r="S37" s="206">
        <f>P37*Цены!J180</f>
        <v>1773.1999999999998</v>
      </c>
      <c r="T37" s="187"/>
      <c r="BM37" s="471" t="s">
        <v>519</v>
      </c>
      <c r="BN37" s="471"/>
      <c r="BP37" s="471" t="s">
        <v>443</v>
      </c>
      <c r="BQ37" s="471"/>
      <c r="BY37" s="16" t="s">
        <v>159</v>
      </c>
    </row>
    <row r="38" spans="2:83" ht="25.05" customHeight="1" x14ac:dyDescent="0.3">
      <c r="B38" s="56"/>
      <c r="C38" s="57"/>
      <c r="D38" s="57"/>
      <c r="E38" s="57"/>
      <c r="F38" s="57"/>
      <c r="G38" s="57"/>
      <c r="H38" s="58"/>
      <c r="K38" s="412" t="s">
        <v>80</v>
      </c>
      <c r="L38" s="413"/>
      <c r="M38" s="413"/>
      <c r="N38" s="413"/>
      <c r="O38" s="158" t="s">
        <v>194</v>
      </c>
      <c r="P38" s="177">
        <f>IF(E13=BY36,P35,0)</f>
        <v>24</v>
      </c>
      <c r="Q38" s="194"/>
      <c r="R38" s="194"/>
      <c r="S38" s="206">
        <f>P38*Цены!J173</f>
        <v>302.39999999999998</v>
      </c>
      <c r="T38" s="187"/>
      <c r="AY38" s="3"/>
      <c r="BT38" s="3"/>
      <c r="BU38" s="3"/>
      <c r="BV38" s="3"/>
      <c r="BW38" s="3"/>
      <c r="BY38" s="16" t="s">
        <v>129</v>
      </c>
    </row>
    <row r="39" spans="2:83" ht="25.05" customHeight="1" x14ac:dyDescent="0.3">
      <c r="B39" s="59" t="s">
        <v>108</v>
      </c>
      <c r="C39" s="262" t="s">
        <v>109</v>
      </c>
      <c r="D39" s="60" t="s">
        <v>78</v>
      </c>
      <c r="E39" s="262" t="s">
        <v>110</v>
      </c>
      <c r="F39" s="262" t="s">
        <v>111</v>
      </c>
      <c r="G39" s="262" t="s">
        <v>127</v>
      </c>
      <c r="H39" s="61" t="s">
        <v>128</v>
      </c>
      <c r="K39" s="412" t="s">
        <v>165</v>
      </c>
      <c r="L39" s="413"/>
      <c r="M39" s="413"/>
      <c r="N39" s="413"/>
      <c r="O39" s="159" t="s">
        <v>195</v>
      </c>
      <c r="P39" s="269">
        <f>IF(E13=BY37,P35,0)</f>
        <v>0</v>
      </c>
      <c r="Q39" s="193"/>
      <c r="R39" s="193"/>
      <c r="S39" s="206">
        <f>P39*Цены!J134</f>
        <v>0</v>
      </c>
      <c r="T39" s="187"/>
      <c r="AY39" s="3"/>
      <c r="BA39" s="3"/>
      <c r="BB39" s="3"/>
      <c r="BC39" s="3"/>
      <c r="BD39" s="3"/>
      <c r="BE39" s="3"/>
      <c r="BF39" s="186" t="s">
        <v>517</v>
      </c>
      <c r="BG39" s="3"/>
      <c r="BH39" s="3"/>
      <c r="BI39" s="3"/>
      <c r="BJ39" s="3"/>
      <c r="BK39" s="3"/>
      <c r="BL39" s="3"/>
      <c r="BM39" s="3"/>
      <c r="BV39" s="3"/>
      <c r="BW39" s="3"/>
      <c r="BY39" s="1" t="s">
        <v>76</v>
      </c>
      <c r="CE39" s="239">
        <f>IF(E40&lt;&gt;0,1,0)</f>
        <v>1</v>
      </c>
    </row>
    <row r="40" spans="2:83" ht="25.05" customHeight="1" x14ac:dyDescent="0.3">
      <c r="B40" s="62" t="s">
        <v>112</v>
      </c>
      <c r="C40" s="11" t="s">
        <v>12</v>
      </c>
      <c r="D40" s="80">
        <v>0</v>
      </c>
      <c r="E40" s="12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63">
        <f>IF(C40=$BY$29,$N$5-63,IF(C40=$BY$28,$N$5-62,$N$5-60))</f>
        <v>782</v>
      </c>
      <c r="G40" s="64">
        <f>$E$10</f>
        <v>3</v>
      </c>
      <c r="H40" s="65">
        <f>E40*F40*D40*G40/1000000</f>
        <v>0</v>
      </c>
      <c r="K40" s="392" t="s">
        <v>76</v>
      </c>
      <c r="L40" s="393"/>
      <c r="M40" s="393"/>
      <c r="N40" s="393"/>
      <c r="O40" s="158" t="s">
        <v>196</v>
      </c>
      <c r="P40" s="180">
        <f>IF(E13=BY39,ROUNDUP(M9*N9/1000,0),0)</f>
        <v>0</v>
      </c>
      <c r="Q40" s="197"/>
      <c r="R40" s="197"/>
      <c r="S40" s="206">
        <f>P40*Цены!J163</f>
        <v>0</v>
      </c>
      <c r="T40" s="187"/>
      <c r="AY40" s="3"/>
      <c r="AZ40" s="1" t="s">
        <v>446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3"/>
      <c r="BW40" s="3"/>
      <c r="CE40" s="239">
        <f>IF(E41&lt;&gt;0,1,0)</f>
        <v>0</v>
      </c>
    </row>
    <row r="41" spans="2:83" ht="25.05" customHeight="1" x14ac:dyDescent="0.3">
      <c r="B41" s="62" t="s">
        <v>113</v>
      </c>
      <c r="C41" s="11" t="s">
        <v>12</v>
      </c>
      <c r="D41" s="80">
        <v>0</v>
      </c>
      <c r="E41" s="13">
        <v>0</v>
      </c>
      <c r="F41" s="63">
        <f>IF(C41=$BY$29,$N$5-63,IF(C41=$BY$28,$N$5-62,$N$5-60))</f>
        <v>782</v>
      </c>
      <c r="G41" s="64">
        <f>IF(E41&lt;&gt;0,$E$10,0)</f>
        <v>0</v>
      </c>
      <c r="H41" s="65">
        <f>E41*F41*D41*G41/1000000</f>
        <v>0</v>
      </c>
      <c r="K41" s="392" t="s">
        <v>129</v>
      </c>
      <c r="L41" s="393"/>
      <c r="M41" s="393"/>
      <c r="N41" s="393"/>
      <c r="O41" s="158" t="s">
        <v>197</v>
      </c>
      <c r="P41" s="180">
        <f>IF(E13=BY38,ROUNDUP(M9*N9/1000,0),0)</f>
        <v>0</v>
      </c>
      <c r="Q41" s="197"/>
      <c r="R41" s="197"/>
      <c r="S41" s="206">
        <f>P41*Цены!J182</f>
        <v>0</v>
      </c>
      <c r="T41" s="18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"/>
      <c r="AZ41" s="115">
        <f>IF(C25=$BY$27,(F25*E25/1000000)*8,IF(C25=$BY$28,(F25*E25/1000000)*6.5,(F25*E25/1000000)*11))</f>
        <v>21.444786000000001</v>
      </c>
      <c r="BA41" s="81">
        <v>1000</v>
      </c>
      <c r="BB41" s="81">
        <v>1250</v>
      </c>
      <c r="BC41" s="81">
        <v>1800</v>
      </c>
      <c r="BD41" s="81">
        <v>2000</v>
      </c>
      <c r="BE41" s="81">
        <v>2500</v>
      </c>
      <c r="BF41" s="81">
        <v>2700</v>
      </c>
      <c r="BG41" s="81">
        <v>3000</v>
      </c>
      <c r="BH41" s="81">
        <v>3600</v>
      </c>
      <c r="BI41" s="81">
        <v>3750</v>
      </c>
      <c r="BJ41" s="81">
        <v>4000</v>
      </c>
      <c r="BK41" s="81">
        <v>5000</v>
      </c>
      <c r="BL41" s="112">
        <v>5400</v>
      </c>
      <c r="BM41" s="140"/>
      <c r="BN41" s="139"/>
      <c r="BO41" s="139"/>
      <c r="BP41" s="139"/>
      <c r="BQ41" s="139"/>
      <c r="BR41" s="139"/>
      <c r="BS41" s="139"/>
      <c r="BV41" s="3"/>
      <c r="BW41" s="3"/>
      <c r="CE41" s="239">
        <f>IF(E42&lt;&gt;0,1,0)</f>
        <v>0</v>
      </c>
    </row>
    <row r="42" spans="2:83" ht="25.05" customHeight="1" x14ac:dyDescent="0.3">
      <c r="B42" s="62" t="s">
        <v>114</v>
      </c>
      <c r="C42" s="11" t="s">
        <v>12</v>
      </c>
      <c r="D42" s="80">
        <v>0</v>
      </c>
      <c r="E42" s="13">
        <v>0</v>
      </c>
      <c r="F42" s="63">
        <f>IF(C42=$BY$29,$N$5-63,IF(C42=$BY$28,$N$5-62,$N$5-60))</f>
        <v>782</v>
      </c>
      <c r="G42" s="64">
        <f t="shared" ref="G42:G44" si="22">IF(E42&lt;&gt;0,$E$10,0)</f>
        <v>0</v>
      </c>
      <c r="H42" s="65">
        <f>E42*F42*D42*G42/1000000</f>
        <v>0</v>
      </c>
      <c r="K42" s="392" t="s">
        <v>161</v>
      </c>
      <c r="L42" s="393"/>
      <c r="M42" s="393"/>
      <c r="N42" s="393"/>
      <c r="O42" s="233" t="s">
        <v>198</v>
      </c>
      <c r="P42" s="178">
        <f>IF(P41&gt;0,N9*2,0)</f>
        <v>0</v>
      </c>
      <c r="Q42" s="195"/>
      <c r="R42" s="195"/>
      <c r="S42" s="206">
        <f>P42*Цены!J178</f>
        <v>0</v>
      </c>
      <c r="T42" s="187"/>
      <c r="AY42" s="3"/>
      <c r="AZ42" s="115">
        <f>IF(C26=$BY$27,(F26*E26/1000000)*8,IF(C26=$BY$28,(F26*E26/1000000)*6.5,(F26*E26/1000000)*11))</f>
        <v>0</v>
      </c>
      <c r="BA42" s="111">
        <v>0</v>
      </c>
      <c r="BB42" s="111">
        <v>0</v>
      </c>
      <c r="BC42" s="111">
        <v>0</v>
      </c>
      <c r="BD42" s="111">
        <v>0</v>
      </c>
      <c r="BE42" s="111">
        <v>0</v>
      </c>
      <c r="BF42" s="111">
        <v>0</v>
      </c>
      <c r="BG42" s="111">
        <v>0</v>
      </c>
      <c r="BH42" s="111">
        <v>0</v>
      </c>
      <c r="BI42" s="111">
        <v>0</v>
      </c>
      <c r="BJ42" s="111">
        <v>0</v>
      </c>
      <c r="BK42" s="111">
        <v>0</v>
      </c>
      <c r="BL42" s="250">
        <f>BL26</f>
        <v>6</v>
      </c>
      <c r="BM42" s="111"/>
      <c r="BN42" s="111"/>
      <c r="BO42" s="111"/>
      <c r="BP42" s="111"/>
      <c r="BQ42" s="111"/>
      <c r="BR42" s="111"/>
      <c r="BS42" s="111"/>
      <c r="BV42" s="121"/>
      <c r="BW42" s="121"/>
      <c r="CE42" s="239">
        <f>IF(E43&lt;&gt;0,1,0)</f>
        <v>0</v>
      </c>
    </row>
    <row r="43" spans="2:83" ht="25.05" customHeight="1" x14ac:dyDescent="0.3">
      <c r="B43" s="62" t="s">
        <v>115</v>
      </c>
      <c r="C43" s="11" t="s">
        <v>12</v>
      </c>
      <c r="D43" s="80">
        <v>0</v>
      </c>
      <c r="E43" s="13">
        <v>0</v>
      </c>
      <c r="F43" s="63">
        <f>IF(C43=$BY$29,$N$5-63,IF(C43=$BY$28,$N$5-62,$N$5-60))</f>
        <v>782</v>
      </c>
      <c r="G43" s="64">
        <f t="shared" si="22"/>
        <v>0</v>
      </c>
      <c r="H43" s="65">
        <f>E43*F43*D43*G43/1000000</f>
        <v>0</v>
      </c>
      <c r="K43" s="392" t="s">
        <v>162</v>
      </c>
      <c r="L43" s="393"/>
      <c r="M43" s="393"/>
      <c r="N43" s="393"/>
      <c r="O43" s="158" t="s">
        <v>224</v>
      </c>
      <c r="P43" s="178">
        <f>E16</f>
        <v>0</v>
      </c>
      <c r="Q43" s="195"/>
      <c r="R43" s="195"/>
      <c r="S43" s="206">
        <f>P43*Цены!J148</f>
        <v>0</v>
      </c>
      <c r="T43" s="187"/>
      <c r="AY43" s="3"/>
      <c r="AZ43" s="115">
        <f>IF(C27=$BY$27,(F27*E27/1000000)*8,IF(C27=$BY$28,(F27*E27/1000000)*6.5,(F27*E27/1000000)*11))</f>
        <v>0</v>
      </c>
      <c r="BA43" s="111">
        <v>0</v>
      </c>
      <c r="BB43" s="111">
        <v>0</v>
      </c>
      <c r="BC43" s="111">
        <v>0</v>
      </c>
      <c r="BD43" s="111">
        <v>0</v>
      </c>
      <c r="BE43" s="111">
        <v>0</v>
      </c>
      <c r="BF43" s="111">
        <v>0</v>
      </c>
      <c r="BG43" s="111">
        <v>0</v>
      </c>
      <c r="BH43" s="111">
        <v>0</v>
      </c>
      <c r="BI43" s="111">
        <v>0</v>
      </c>
      <c r="BJ43" s="111">
        <v>0</v>
      </c>
      <c r="BK43" s="111">
        <v>0</v>
      </c>
      <c r="BL43" s="250">
        <f>BL27</f>
        <v>1</v>
      </c>
      <c r="BV43" s="3"/>
      <c r="BW43" s="3"/>
      <c r="BY43" s="57" t="s">
        <v>118</v>
      </c>
      <c r="CE43" s="239">
        <f>IF(E44&lt;&gt;0,1,0)</f>
        <v>0</v>
      </c>
    </row>
    <row r="44" spans="2:83" ht="25.05" customHeight="1" thickBot="1" x14ac:dyDescent="0.35">
      <c r="B44" s="68" t="s">
        <v>116</v>
      </c>
      <c r="C44" s="11" t="s">
        <v>12</v>
      </c>
      <c r="D44" s="80">
        <v>0</v>
      </c>
      <c r="E44" s="13">
        <v>0</v>
      </c>
      <c r="F44" s="63">
        <f>IF(C44=$BY$29,$N$5-63,IF(C44=$BY$28,$N$5-62,$N$5-60))</f>
        <v>782</v>
      </c>
      <c r="G44" s="64">
        <f t="shared" si="22"/>
        <v>0</v>
      </c>
      <c r="H44" s="65">
        <f>E44*F44*D44*G44/1000000</f>
        <v>0</v>
      </c>
      <c r="K44" s="406" t="s">
        <v>469</v>
      </c>
      <c r="L44" s="407"/>
      <c r="M44" s="407"/>
      <c r="N44" s="407"/>
      <c r="O44" s="182" t="s">
        <v>470</v>
      </c>
      <c r="P44" s="269">
        <f>E17</f>
        <v>0</v>
      </c>
      <c r="Q44" s="195"/>
      <c r="R44" s="195"/>
      <c r="S44" s="206">
        <f>P44*Цены!J187</f>
        <v>0</v>
      </c>
      <c r="T44" s="201"/>
      <c r="AZ44" s="115">
        <f>IF(C28=$BY$27,(F28*E28/1000000)*8,IF(C28=$BY$28,(F28*E28/1000000)*6.5,(F28*E28/1000000)*11))</f>
        <v>0</v>
      </c>
      <c r="BA44" s="113">
        <v>0</v>
      </c>
      <c r="BB44" s="113">
        <v>0</v>
      </c>
      <c r="BC44" s="113">
        <v>0</v>
      </c>
      <c r="BD44" s="113">
        <v>0</v>
      </c>
      <c r="BE44" s="111">
        <f>IF(AND((E37+E38)&gt;BD5,BP44=1),1,0)</f>
        <v>0</v>
      </c>
      <c r="BF44" s="113">
        <v>0</v>
      </c>
      <c r="BG44" s="113">
        <v>0</v>
      </c>
      <c r="BH44" s="113">
        <v>0</v>
      </c>
      <c r="BI44" s="113">
        <v>0</v>
      </c>
      <c r="BJ44" s="113">
        <v>0</v>
      </c>
      <c r="BK44" s="111">
        <f>IF(E4+E5&lt;=4950,BR44,IF(AND(BM44&gt;2500,BM44&lt;=4950),BN44+1,BN44)+IF(AND(BM45&gt;2500,BM45&lt;=4950),BN45+1,BN45)+IF(BP44=2,1,0))</f>
        <v>6</v>
      </c>
      <c r="BL44" s="113">
        <v>0</v>
      </c>
      <c r="BM44" s="139">
        <f>BM28</f>
        <v>0</v>
      </c>
      <c r="BN44" s="139">
        <f t="shared" ref="BN44:BR44" si="23">BN28</f>
        <v>3</v>
      </c>
      <c r="BO44" s="139"/>
      <c r="BP44" s="139">
        <f t="shared" si="23"/>
        <v>0</v>
      </c>
      <c r="BQ44" s="139"/>
      <c r="BR44" s="139">
        <f t="shared" si="23"/>
        <v>4</v>
      </c>
      <c r="BS44" s="139"/>
      <c r="BY44" s="57" t="s">
        <v>119</v>
      </c>
    </row>
    <row r="45" spans="2:83" ht="25.05" customHeight="1" thickBot="1" x14ac:dyDescent="0.35">
      <c r="B45" s="56"/>
      <c r="C45" s="57"/>
      <c r="D45" s="57"/>
      <c r="E45" s="451" t="s">
        <v>79</v>
      </c>
      <c r="F45" s="452"/>
      <c r="G45" s="453"/>
      <c r="H45" s="69">
        <f>SUM(H40:H44)</f>
        <v>0</v>
      </c>
      <c r="K45" s="392" t="s">
        <v>163</v>
      </c>
      <c r="L45" s="393"/>
      <c r="M45" s="393"/>
      <c r="N45" s="393"/>
      <c r="O45" s="182" t="s">
        <v>225</v>
      </c>
      <c r="P45" s="178">
        <f>IF(AND(E18=BY23,E12=BY23),1,IF(AND(E18=BY23,E11=BY23),2,IF(E18=BY23,E9-1+E10-1,0)))</f>
        <v>0</v>
      </c>
      <c r="Q45" s="194"/>
      <c r="R45" s="194"/>
      <c r="S45" s="339">
        <f>P46*Цены!J169</f>
        <v>123.42</v>
      </c>
      <c r="U45" s="187"/>
      <c r="AZ45" s="115">
        <f>IF(C29=$BY$27,(F29*E29/1000000)*8,IF(C29=$BY$28,(F29*E29/1000000)*6.5,(F29*E29/1000000)*11))</f>
        <v>0</v>
      </c>
      <c r="BM45" s="139">
        <f t="shared" ref="BM45:BR45" si="24">BM29</f>
        <v>0</v>
      </c>
      <c r="BN45" s="139">
        <f t="shared" si="24"/>
        <v>3</v>
      </c>
      <c r="BO45" s="139"/>
      <c r="BP45" s="139">
        <f t="shared" si="24"/>
        <v>0</v>
      </c>
      <c r="BQ45" s="139"/>
      <c r="BR45" s="139">
        <f t="shared" si="24"/>
        <v>0</v>
      </c>
      <c r="BS45" s="139"/>
    </row>
    <row r="46" spans="2:83" ht="25.05" customHeight="1" thickBot="1" x14ac:dyDescent="0.35">
      <c r="B46" s="56"/>
      <c r="C46" s="70" t="str">
        <f>IF((SUM(CE39:CE43)/C21)&lt;&gt;1,BY43,BY44)</f>
        <v>Верно внесены высоты вставок</v>
      </c>
      <c r="D46" s="82">
        <f>IF(C46=BY44,1,0)</f>
        <v>1</v>
      </c>
      <c r="E46" s="82"/>
      <c r="F46" s="82"/>
      <c r="G46" s="82"/>
      <c r="H46" s="58"/>
      <c r="K46" s="455" t="s">
        <v>463</v>
      </c>
      <c r="L46" s="456"/>
      <c r="M46" s="456"/>
      <c r="N46" s="456"/>
      <c r="O46" s="344" t="s">
        <v>464</v>
      </c>
      <c r="P46" s="332">
        <f>P30</f>
        <v>2</v>
      </c>
      <c r="Q46" s="190"/>
      <c r="R46" s="454" t="s">
        <v>425</v>
      </c>
      <c r="S46" s="340">
        <f>SUM(S25:S45)</f>
        <v>45262.389999999985</v>
      </c>
      <c r="T46" s="201"/>
      <c r="U46" s="187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Z46" s="116">
        <f>SUM(AZ41:AZ45)</f>
        <v>21.444786000000001</v>
      </c>
      <c r="BA46" s="113">
        <v>0</v>
      </c>
      <c r="BB46" s="113">
        <v>0</v>
      </c>
      <c r="BC46" s="113">
        <v>0</v>
      </c>
      <c r="BD46" s="113">
        <v>0</v>
      </c>
      <c r="BE46" s="111">
        <f t="shared" ref="BE46" si="25">IF(BP46=1,1,0)</f>
        <v>0</v>
      </c>
      <c r="BF46" s="113">
        <v>0</v>
      </c>
      <c r="BG46" s="113">
        <v>0</v>
      </c>
      <c r="BH46" s="113">
        <v>0</v>
      </c>
      <c r="BI46" s="113">
        <v>0</v>
      </c>
      <c r="BJ46" s="113">
        <v>0</v>
      </c>
      <c r="BK46" s="111">
        <f>IF(E4+E5&lt;=5025,BR46,IF(AND(BM46&gt;2500,BM46&lt;=5025),BN46+1,BN46)+IF(AND(BM47&gt;2500,BM47&lt;=5025),BN47+1,BN47)+IF(BP46=2,1,0))</f>
        <v>2</v>
      </c>
      <c r="BL46" s="113">
        <v>0</v>
      </c>
      <c r="BM46" s="139">
        <f t="shared" ref="BM46:BR46" si="26">BM30</f>
        <v>0</v>
      </c>
      <c r="BN46" s="139">
        <f t="shared" si="26"/>
        <v>1</v>
      </c>
      <c r="BO46" s="139"/>
      <c r="BP46" s="139">
        <f t="shared" si="26"/>
        <v>0</v>
      </c>
      <c r="BQ46" s="139"/>
      <c r="BR46" s="139">
        <f t="shared" si="26"/>
        <v>2</v>
      </c>
      <c r="BS46" s="139"/>
    </row>
    <row r="47" spans="2:83" ht="25.05" customHeight="1" thickBot="1" x14ac:dyDescent="0.4">
      <c r="B47" s="56"/>
      <c r="C47" s="57"/>
      <c r="D47" s="57"/>
      <c r="E47" s="57"/>
      <c r="F47" s="57"/>
      <c r="G47" s="260" t="s">
        <v>261</v>
      </c>
      <c r="H47" s="282">
        <f>ROUNDUP((AZ22+AZ55)*1.1,0)</f>
        <v>30</v>
      </c>
      <c r="N47" s="110"/>
      <c r="O47" s="41"/>
      <c r="P47" s="41"/>
      <c r="Q47" s="198"/>
      <c r="R47" s="454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39">
        <f t="shared" ref="BM47:BP47" si="27">BM31</f>
        <v>0</v>
      </c>
      <c r="BN47" s="139">
        <f t="shared" si="27"/>
        <v>1</v>
      </c>
      <c r="BO47" s="139"/>
      <c r="BP47" s="139">
        <f t="shared" si="27"/>
        <v>0</v>
      </c>
      <c r="BQ47" s="139"/>
      <c r="BR47" s="139"/>
      <c r="BS47" s="139"/>
      <c r="BY47" s="73" t="s">
        <v>126</v>
      </c>
    </row>
    <row r="48" spans="2:83" ht="25.05" customHeight="1" thickBot="1" x14ac:dyDescent="0.35">
      <c r="B48" s="278"/>
      <c r="C48" s="279" t="str">
        <f>IF(AND(SUM(CE39:CE43)/C21=1,E44=0,C21&lt;&gt;1),BY47,BY48)</f>
        <v xml:space="preserve"> </v>
      </c>
      <c r="D48" s="280"/>
      <c r="E48" s="279"/>
      <c r="F48" s="279"/>
      <c r="G48" s="120"/>
      <c r="H48" s="109"/>
      <c r="M48" s="472" t="s">
        <v>521</v>
      </c>
      <c r="N48" s="472"/>
      <c r="O48" s="472"/>
      <c r="P48" s="472"/>
      <c r="Q48" s="257"/>
      <c r="S48" s="106">
        <f>S19+S46+H30</f>
        <v>126136.16999999997</v>
      </c>
      <c r="BA48" s="113">
        <v>0</v>
      </c>
      <c r="BB48" s="113">
        <v>0</v>
      </c>
      <c r="BC48" s="113">
        <v>0</v>
      </c>
      <c r="BD48" s="113">
        <v>0</v>
      </c>
      <c r="BE48" s="111">
        <f>IF(AND((BM48+BM49)&gt;0,(BM48+BM49)&lt;=2500),1,0)</f>
        <v>0</v>
      </c>
      <c r="BF48" s="113">
        <v>0</v>
      </c>
      <c r="BG48" s="113">
        <v>0</v>
      </c>
      <c r="BH48" s="113">
        <v>0</v>
      </c>
      <c r="BI48" s="113">
        <v>0</v>
      </c>
      <c r="BJ48" s="113">
        <v>0</v>
      </c>
      <c r="BK48" s="111">
        <f>IF(BP48=1,0,IF(AND(BM48&gt;2500,BM48&lt;=4950),1,0)+IF(AND(BM49&gt;2500,BM49&lt;=4950),1,0))+BP48+BN48+BN49</f>
        <v>2</v>
      </c>
      <c r="BL48" s="113">
        <v>0</v>
      </c>
      <c r="BM48" s="139">
        <f t="shared" ref="BM48:BP48" si="28">BM32</f>
        <v>0</v>
      </c>
      <c r="BN48" s="139">
        <f t="shared" si="28"/>
        <v>1</v>
      </c>
      <c r="BO48" s="139"/>
      <c r="BP48" s="139">
        <f t="shared" si="28"/>
        <v>0</v>
      </c>
      <c r="BQ48" s="139"/>
      <c r="BR48" s="139"/>
      <c r="BS48" s="139"/>
      <c r="BY48" s="1" t="s">
        <v>94</v>
      </c>
    </row>
    <row r="49" spans="52:79" ht="30" customHeight="1" x14ac:dyDescent="0.3">
      <c r="AZ49" s="1" t="s">
        <v>450</v>
      </c>
      <c r="BM49" s="139">
        <f t="shared" ref="BM49:BP49" si="29">BM33</f>
        <v>0</v>
      </c>
      <c r="BN49" s="139">
        <f t="shared" si="29"/>
        <v>1</v>
      </c>
      <c r="BO49" s="139"/>
      <c r="BP49" s="139">
        <f t="shared" si="29"/>
        <v>0</v>
      </c>
      <c r="BQ49" s="139"/>
      <c r="BR49" s="139"/>
      <c r="BS49" s="139"/>
      <c r="BT49" s="111"/>
      <c r="BU49" s="141"/>
    </row>
    <row r="50" spans="52:79" ht="30" customHeight="1" x14ac:dyDescent="0.3">
      <c r="AZ50" s="115">
        <f>IF(C40=$BY$27,(F40*E40/1000000)*8,IF(C40=$BY$28,(F40*E40/1000000)*6.5,(F40*E40/1000000)*11))</f>
        <v>21.444786000000001</v>
      </c>
      <c r="BA50" s="113">
        <v>0</v>
      </c>
      <c r="BB50" s="113">
        <v>0</v>
      </c>
      <c r="BC50" s="113">
        <v>0</v>
      </c>
      <c r="BD50" s="113">
        <v>0</v>
      </c>
      <c r="BE50" s="142">
        <f>IF(E7=CG7,IF(AND((BM50+BM51)&gt;0,(BM50+BM51)&lt;=2500),1,0),0)</f>
        <v>0</v>
      </c>
      <c r="BF50" s="143">
        <f>IF(E7=CG6,IF(AND((BP50+BP51)&gt;0,(BP50+BP51)&lt;=2700),1,0),0)</f>
        <v>0</v>
      </c>
      <c r="BG50" s="113">
        <v>0</v>
      </c>
      <c r="BH50" s="113">
        <v>0</v>
      </c>
      <c r="BI50" s="113">
        <v>0</v>
      </c>
      <c r="BJ50" s="113">
        <v>0</v>
      </c>
      <c r="BK50" s="142">
        <f>IF(E7=CG7,IF(AND(BM19&gt;4000,BM19&lt;=4950),BN17+BN18+1,BN17+BN18),0)</f>
        <v>0</v>
      </c>
      <c r="BL50" s="143">
        <f>IF(E7=CG6,IF(AND(BP19&gt;3600,BP19&lt;=5350),BQ17+BQ18+1,BQ17+BQ18),0)</f>
        <v>0</v>
      </c>
      <c r="BM50" s="139">
        <f t="shared" ref="BM50:BQ50" si="30">BM34</f>
        <v>0</v>
      </c>
      <c r="BN50" s="139">
        <f t="shared" si="30"/>
        <v>0</v>
      </c>
      <c r="BO50" s="139"/>
      <c r="BP50" s="139">
        <f t="shared" si="30"/>
        <v>0</v>
      </c>
      <c r="BQ50" s="139">
        <f t="shared" si="30"/>
        <v>0</v>
      </c>
      <c r="BR50" s="139"/>
      <c r="BS50" s="139"/>
      <c r="BY50" s="30" t="str">
        <f>Цены!G6</f>
        <v>Серебро матовое</v>
      </c>
    </row>
    <row r="51" spans="52:79" x14ac:dyDescent="0.3">
      <c r="AZ51" s="115">
        <f>IF(C41=$BY$27,(F41*E41/1000000)*8,IF(C41=$BY$28,(F41*E41/1000000)*6.5,(F41*E41/1000000)*11))</f>
        <v>0</v>
      </c>
      <c r="BM51" s="139">
        <f t="shared" ref="BM51:BQ51" si="31">BM35</f>
        <v>0</v>
      </c>
      <c r="BN51" s="139">
        <f t="shared" si="31"/>
        <v>0</v>
      </c>
      <c r="BO51" s="139"/>
      <c r="BP51" s="139">
        <f t="shared" si="31"/>
        <v>0</v>
      </c>
      <c r="BQ51" s="139">
        <f t="shared" si="31"/>
        <v>0</v>
      </c>
      <c r="BR51" s="139"/>
      <c r="BS51" s="139"/>
      <c r="BT51" s="3"/>
      <c r="BU51" s="3"/>
      <c r="BY51" s="30" t="str">
        <f>Цены!G7</f>
        <v>Черный матовый</v>
      </c>
    </row>
    <row r="52" spans="52:79" x14ac:dyDescent="0.3">
      <c r="AZ52" s="115">
        <f>IF(C42=$BY$27,(F42*E42/1000000)*8,IF(C42=$BY$28,(F42*E42/1000000)*6.5,(F42*E42/1000000)*11))</f>
        <v>0</v>
      </c>
      <c r="BM52" s="139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0" t="str">
        <f>Цены!G8</f>
        <v>Слоновая кость</v>
      </c>
    </row>
    <row r="53" spans="52:79" x14ac:dyDescent="0.3">
      <c r="AZ53" s="115">
        <f>IF(C43=$BY$27,(F43*E43/1000000)*8,IF(C43=$BY$28,(F43*E43/1000000)*6.5,(F43*E43/1000000)*11))</f>
        <v>0</v>
      </c>
      <c r="BM53" s="471" t="s">
        <v>519</v>
      </c>
      <c r="BN53" s="471"/>
      <c r="BP53" s="471" t="s">
        <v>443</v>
      </c>
      <c r="BQ53" s="471"/>
      <c r="BY53" s="30" t="str">
        <f>Цены!G9</f>
        <v>Белый матовый</v>
      </c>
    </row>
    <row r="54" spans="52:79" ht="15" thickBot="1" x14ac:dyDescent="0.35">
      <c r="AZ54" s="115">
        <f>IF(C44=$BY$27,(F44*E44/1000000)*8,IF(C44=$BY$28,(F44*E44/1000000)*6.5,(F44*E44/1000000)*11))</f>
        <v>0</v>
      </c>
      <c r="BY54" s="30" t="str">
        <f>Цены!G10</f>
        <v xml:space="preserve">Венге темный </v>
      </c>
    </row>
    <row r="55" spans="52:79" ht="15" thickBot="1" x14ac:dyDescent="0.35">
      <c r="AZ55" s="116">
        <f>SUM(AZ50:AZ54)</f>
        <v>21.444786000000001</v>
      </c>
      <c r="BY55" s="30" t="str">
        <f>Цены!G11</f>
        <v>Дуб белый</v>
      </c>
    </row>
    <row r="56" spans="52:79" ht="25.05" customHeight="1" x14ac:dyDescent="0.3">
      <c r="BA56" s="3"/>
      <c r="BB56" s="3"/>
      <c r="BC56" s="3"/>
      <c r="BD56" s="3"/>
      <c r="BE56" s="3"/>
      <c r="BF56" s="186" t="s">
        <v>518</v>
      </c>
      <c r="BG56" s="3"/>
      <c r="BH56" s="3"/>
      <c r="BI56" s="3"/>
      <c r="BJ56" s="3"/>
      <c r="BK56" s="3"/>
      <c r="BL56" s="3"/>
      <c r="BM56" s="3"/>
      <c r="BY56" s="30" t="str">
        <f>Цены!G12</f>
        <v xml:space="preserve"> медь античная*</v>
      </c>
    </row>
    <row r="57" spans="52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0" t="str">
        <f>Цены!G13</f>
        <v>сталь воронёная</v>
      </c>
    </row>
    <row r="58" spans="52:79" ht="25.05" customHeight="1" x14ac:dyDescent="0.3">
      <c r="BA58" s="81">
        <v>1000</v>
      </c>
      <c r="BB58" s="81">
        <v>1250</v>
      </c>
      <c r="BC58" s="81">
        <v>1800</v>
      </c>
      <c r="BD58" s="81">
        <v>2000</v>
      </c>
      <c r="BE58" s="81">
        <v>2500</v>
      </c>
      <c r="BF58" s="81">
        <v>2700</v>
      </c>
      <c r="BG58" s="81">
        <v>3000</v>
      </c>
      <c r="BH58" s="81">
        <v>3600</v>
      </c>
      <c r="BI58" s="81">
        <v>3750</v>
      </c>
      <c r="BJ58" s="81">
        <v>4000</v>
      </c>
      <c r="BK58" s="81">
        <v>5000</v>
      </c>
      <c r="BL58" s="112">
        <v>5400</v>
      </c>
      <c r="BM58" s="140"/>
      <c r="BN58" s="139"/>
      <c r="BO58" s="139"/>
      <c r="BP58" s="139"/>
      <c r="BQ58" s="139"/>
      <c r="BR58" s="139"/>
      <c r="BS58" s="139"/>
      <c r="BY58" s="30" t="str">
        <f>Цены!G14</f>
        <v>золото матовое</v>
      </c>
    </row>
    <row r="59" spans="52:79" ht="25.05" customHeight="1" x14ac:dyDescent="0.3">
      <c r="BA59" s="111">
        <v>0</v>
      </c>
      <c r="BB59" s="111">
        <v>0</v>
      </c>
      <c r="BC59" s="111">
        <v>0</v>
      </c>
      <c r="BD59" s="111">
        <v>0</v>
      </c>
      <c r="BE59" s="111">
        <v>0</v>
      </c>
      <c r="BF59" s="111">
        <v>0</v>
      </c>
      <c r="BG59" s="111">
        <v>0</v>
      </c>
      <c r="BH59" s="111">
        <v>0</v>
      </c>
      <c r="BI59" s="111">
        <v>0</v>
      </c>
      <c r="BJ59" s="111">
        <v>0</v>
      </c>
      <c r="BK59" s="111">
        <v>0</v>
      </c>
      <c r="BL59" s="250">
        <f>BL42</f>
        <v>6</v>
      </c>
      <c r="BM59" s="111"/>
      <c r="BN59" s="111"/>
      <c r="BO59" s="111"/>
      <c r="BP59" s="111"/>
      <c r="BQ59" s="111"/>
      <c r="BR59" s="111"/>
      <c r="BS59" s="111"/>
      <c r="BY59" s="30" t="str">
        <f>Цены!G15</f>
        <v>антрацит</v>
      </c>
      <c r="CA59" s="39">
        <v>0</v>
      </c>
    </row>
    <row r="60" spans="52:79" ht="25.05" customHeight="1" x14ac:dyDescent="0.3">
      <c r="BA60" s="111">
        <v>0</v>
      </c>
      <c r="BB60" s="111">
        <v>0</v>
      </c>
      <c r="BC60" s="111">
        <v>0</v>
      </c>
      <c r="BD60" s="111">
        <v>0</v>
      </c>
      <c r="BE60" s="111">
        <v>0</v>
      </c>
      <c r="BF60" s="111">
        <v>0</v>
      </c>
      <c r="BG60" s="111">
        <v>0</v>
      </c>
      <c r="BH60" s="111">
        <v>0</v>
      </c>
      <c r="BI60" s="111">
        <v>0</v>
      </c>
      <c r="BJ60" s="111">
        <v>0</v>
      </c>
      <c r="BK60" s="111">
        <v>0</v>
      </c>
      <c r="BL60" s="250">
        <f>BL43</f>
        <v>1</v>
      </c>
      <c r="BY60" s="30" t="str">
        <f>Цены!G16</f>
        <v>кварц бронзовый*</v>
      </c>
      <c r="CA60" s="39">
        <v>1</v>
      </c>
    </row>
    <row r="61" spans="52:79" ht="25.05" customHeight="1" x14ac:dyDescent="0.3">
      <c r="BA61" s="113">
        <v>0</v>
      </c>
      <c r="BB61" s="113">
        <v>0</v>
      </c>
      <c r="BC61" s="113">
        <v>0</v>
      </c>
      <c r="BD61" s="113">
        <v>0</v>
      </c>
      <c r="BE61" s="111">
        <f>IF(AND((E54+E55)&gt;BD5,BP61=1),1,0)</f>
        <v>0</v>
      </c>
      <c r="BF61" s="113">
        <v>0</v>
      </c>
      <c r="BG61" s="113">
        <v>0</v>
      </c>
      <c r="BH61" s="113">
        <v>0</v>
      </c>
      <c r="BI61" s="113">
        <v>0</v>
      </c>
      <c r="BJ61" s="113">
        <v>0</v>
      </c>
      <c r="BK61" s="111">
        <f>IF(E4+E5&lt;=4950,BR61,IF(AND(BM61&gt;2500,BM61&lt;=4950),BN61+1,BN61)+IF(AND(BM62&gt;2500,BM62&lt;=4950),BN62+1,BN62)+IF(BP61=2,1,0))</f>
        <v>6</v>
      </c>
      <c r="BL61" s="113">
        <v>0</v>
      </c>
      <c r="BM61" s="139">
        <f t="shared" ref="BM61:BN61" si="32">BM44</f>
        <v>0</v>
      </c>
      <c r="BN61" s="139">
        <f t="shared" si="32"/>
        <v>3</v>
      </c>
      <c r="BO61" s="139"/>
      <c r="BP61" s="139">
        <f>BP44</f>
        <v>0</v>
      </c>
      <c r="BQ61" s="139"/>
      <c r="BR61" s="139">
        <f>BR44</f>
        <v>4</v>
      </c>
      <c r="BS61" s="111"/>
      <c r="BY61" s="30" t="str">
        <f>Цены!G17</f>
        <v>жемчуг серый*</v>
      </c>
      <c r="CA61" s="39">
        <v>2</v>
      </c>
    </row>
    <row r="62" spans="52:79" ht="25.05" customHeight="1" x14ac:dyDescent="0.3">
      <c r="AZ62" s="115"/>
      <c r="BM62" s="139">
        <f t="shared" ref="BM62:BN62" si="33">BM45</f>
        <v>0</v>
      </c>
      <c r="BN62" s="139">
        <f t="shared" si="33"/>
        <v>3</v>
      </c>
      <c r="BO62" s="139"/>
      <c r="BP62" s="139"/>
      <c r="BQ62" s="139"/>
      <c r="BR62" s="139"/>
      <c r="BY62" s="30" t="str">
        <f>Цены!G18</f>
        <v>жемчуг розовый*</v>
      </c>
      <c r="CA62" s="39">
        <v>3</v>
      </c>
    </row>
    <row r="63" spans="52:79" ht="25.05" customHeight="1" x14ac:dyDescent="0.3">
      <c r="BA63" s="113">
        <v>0</v>
      </c>
      <c r="BB63" s="113">
        <v>0</v>
      </c>
      <c r="BC63" s="113">
        <v>0</v>
      </c>
      <c r="BD63" s="113">
        <v>0</v>
      </c>
      <c r="BE63" s="111">
        <f t="shared" ref="BE63" si="34">IF(BP63=1,1,0)</f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1">
        <f>IF(E4+E5&lt;=5025,BR63,IF(AND(BM63&gt;2500,BM63&lt;=5025),BN63+1,BN63)+IF(AND(BM64&gt;2500,BM64&lt;=5025),BN64+1,BN64)+IF(BP63=2,1,0))</f>
        <v>2</v>
      </c>
      <c r="BL63" s="113">
        <v>0</v>
      </c>
      <c r="BM63" s="139">
        <f t="shared" ref="BM63:BN63" si="35">BM46</f>
        <v>0</v>
      </c>
      <c r="BN63" s="139">
        <f t="shared" si="35"/>
        <v>1</v>
      </c>
      <c r="BO63" s="139"/>
      <c r="BP63" s="139">
        <f>BP46</f>
        <v>0</v>
      </c>
      <c r="BQ63" s="139"/>
      <c r="BR63" s="139">
        <f>BR46</f>
        <v>2</v>
      </c>
      <c r="BS63" s="111"/>
      <c r="CA63" s="39">
        <v>4</v>
      </c>
    </row>
    <row r="64" spans="52:79" ht="25.05" customHeight="1" x14ac:dyDescent="0.3"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39">
        <f t="shared" ref="BM64:BN64" si="36">BM47</f>
        <v>0</v>
      </c>
      <c r="BN64" s="139">
        <f t="shared" si="36"/>
        <v>1</v>
      </c>
      <c r="BO64" s="139"/>
      <c r="BP64" s="139"/>
      <c r="BQ64" s="139"/>
      <c r="BR64" s="139"/>
      <c r="BS64" s="111"/>
      <c r="CA64" s="39">
        <v>5</v>
      </c>
    </row>
    <row r="65" spans="53:77" ht="25.05" customHeight="1" x14ac:dyDescent="0.3">
      <c r="BA65" s="113">
        <v>0</v>
      </c>
      <c r="BB65" s="113">
        <v>0</v>
      </c>
      <c r="BC65" s="113">
        <v>0</v>
      </c>
      <c r="BD65" s="113">
        <v>0</v>
      </c>
      <c r="BE65" s="111">
        <f>IF(AND((BM65+BM66)&gt;0,(BM65+BM66)&lt;=2500),1,0)</f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1">
        <f>IF(BP65=1,0,IF(AND(BM65&gt;2500,BM65&lt;=4950),1,0)+IF(AND(BM66&gt;2500,BM66&lt;=4950),1,0))+BP65+BN65+BN66</f>
        <v>2</v>
      </c>
      <c r="BL65" s="113">
        <v>0</v>
      </c>
      <c r="BM65" s="139">
        <f t="shared" ref="BM65:BN65" si="37">BM48</f>
        <v>0</v>
      </c>
      <c r="BN65" s="139">
        <f t="shared" si="37"/>
        <v>1</v>
      </c>
      <c r="BO65" s="139"/>
      <c r="BP65" s="139">
        <f>IF(AND((BM65+BM66)&gt;3750,(BM65+BM66)&lt;=5000),1,0)</f>
        <v>0</v>
      </c>
      <c r="BQ65" s="139"/>
      <c r="BR65" s="139"/>
      <c r="BS65" s="111"/>
    </row>
    <row r="66" spans="53:77" ht="25.05" customHeight="1" x14ac:dyDescent="0.3">
      <c r="BM66" s="139">
        <f t="shared" ref="BM66:BN66" si="38">BM49</f>
        <v>0</v>
      </c>
      <c r="BN66" s="139">
        <f t="shared" si="38"/>
        <v>1</v>
      </c>
      <c r="BO66" s="139"/>
      <c r="BP66" s="139"/>
      <c r="BQ66" s="139"/>
      <c r="BR66" s="139">
        <f>BR49</f>
        <v>0</v>
      </c>
      <c r="BS66" s="139">
        <f>BS49</f>
        <v>0</v>
      </c>
      <c r="BT66" s="111"/>
      <c r="BU66" s="141"/>
    </row>
    <row r="67" spans="53:77" ht="25.05" customHeight="1" x14ac:dyDescent="0.3">
      <c r="BA67" s="113">
        <v>0</v>
      </c>
      <c r="BB67" s="113">
        <v>0</v>
      </c>
      <c r="BC67" s="143">
        <f>IF(E7=CG6,IF(AND((BP67+BP68)&gt;0,(BP67+BP68)&lt;=1800),1,0),0)</f>
        <v>0</v>
      </c>
      <c r="BD67" s="113">
        <v>0</v>
      </c>
      <c r="BE67" s="142">
        <f>IF(E7=CG7,IF(AND((BM67+BM68)&gt;0,(BM67+BM68)&lt;=2500),1,0),0)</f>
        <v>0</v>
      </c>
      <c r="BF67" s="143">
        <f>IF(E7=CG6,IF(AND((BP67+BP68)&gt;1800,(BP67+BP68)&lt;=2700),1,0),0)</f>
        <v>0</v>
      </c>
      <c r="BG67" s="113">
        <v>0</v>
      </c>
      <c r="BH67" s="143">
        <f>IF(E7=CG6,IF(AND(BP36&gt;2700,BP36&lt;=3600),1,0),0)</f>
        <v>0</v>
      </c>
      <c r="BI67" s="113">
        <v>0</v>
      </c>
      <c r="BJ67" s="113">
        <v>0</v>
      </c>
      <c r="BK67" s="142">
        <f>IF(E7=CG7,IF(AND(BM19&gt;4000,BM19&lt;=4950),BN17+BN18+1,BN17+BN18),0)</f>
        <v>0</v>
      </c>
      <c r="BL67" s="143">
        <f>IF(E7=CG6,IF(AND(BP19&gt;3600,BP19&lt;=5350),BQ17+BQ18+1,BQ17+BQ18),0)</f>
        <v>0</v>
      </c>
      <c r="BM67" s="139">
        <f>BM50</f>
        <v>0</v>
      </c>
      <c r="BN67" s="139">
        <f>BN50</f>
        <v>0</v>
      </c>
      <c r="BO67" s="139"/>
      <c r="BP67" s="139">
        <f>BP50</f>
        <v>0</v>
      </c>
      <c r="BQ67" s="139">
        <f>BQ50</f>
        <v>0</v>
      </c>
      <c r="BR67" s="139">
        <f>IF(AND((BM67+BM68)&gt;3750,(BM67+BM68)&lt;=5000),1,0)</f>
        <v>0</v>
      </c>
      <c r="BS67" s="139">
        <f>BS50</f>
        <v>0</v>
      </c>
    </row>
    <row r="68" spans="53:77" ht="25.05" customHeight="1" x14ac:dyDescent="0.3">
      <c r="BM68" s="139">
        <f>BM51</f>
        <v>0</v>
      </c>
      <c r="BN68" s="139">
        <f>BN51</f>
        <v>0</v>
      </c>
      <c r="BO68" s="139"/>
      <c r="BP68" s="139">
        <f>BP51</f>
        <v>0</v>
      </c>
      <c r="BQ68" s="139">
        <f>BQ51</f>
        <v>0</v>
      </c>
      <c r="BR68" s="139"/>
      <c r="BT68" s="3"/>
      <c r="BU68" s="3"/>
    </row>
    <row r="69" spans="53:77" x14ac:dyDescent="0.3">
      <c r="BM69" s="139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175</v>
      </c>
    </row>
    <row r="70" spans="53:77" x14ac:dyDescent="0.3">
      <c r="BM70" s="471" t="s">
        <v>519</v>
      </c>
      <c r="BN70" s="471"/>
      <c r="BP70" s="471" t="s">
        <v>443</v>
      </c>
      <c r="BQ70" s="471"/>
      <c r="BY70" s="1" t="s">
        <v>174</v>
      </c>
    </row>
  </sheetData>
  <sheetProtection algorithmName="SHA-512" hashValue="Mdl7hwGcY61m0YMTC9vRZY+4Xic0kyA9PL+b8Hb7rh89ZA3UTxX8UuyEjnK0SJdWhHpxamoUcFGz/dtI0Cu4yQ==" saltValue="br16KTl2QtnUaJMGv+LWWw==" spinCount="100000" sheet="1" selectLockedCells="1"/>
  <mergeCells count="146"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</mergeCells>
  <conditionalFormatting sqref="C31">
    <cfRule type="expression" dxfId="106" priority="1002">
      <formula>$C$31=$BY$43</formula>
    </cfRule>
    <cfRule type="expression" dxfId="105" priority="1003">
      <formula>$C$31=$BY$44</formula>
    </cfRule>
  </conditionalFormatting>
  <conditionalFormatting sqref="C33">
    <cfRule type="expression" dxfId="104" priority="1004">
      <formula>$C$33=$BY$47</formula>
    </cfRule>
  </conditionalFormatting>
  <conditionalFormatting sqref="C46">
    <cfRule type="expression" dxfId="103" priority="1009">
      <formula>$C$46=$BY$43</formula>
    </cfRule>
    <cfRule type="expression" dxfId="102" priority="1010">
      <formula>$C$46=$BY$44</formula>
    </cfRule>
  </conditionalFormatting>
  <conditionalFormatting sqref="C48">
    <cfRule type="expression" dxfId="101" priority="1011">
      <formula>$C$48=$BY$47</formula>
    </cfRule>
  </conditionalFormatting>
  <conditionalFormatting sqref="D21:G21">
    <cfRule type="expression" dxfId="100" priority="981">
      <formula>$D$21=#REF!</formula>
    </cfRule>
  </conditionalFormatting>
  <conditionalFormatting sqref="D36:G36">
    <cfRule type="expression" dxfId="99" priority="32">
      <formula>$D$21=#REF!</formula>
    </cfRule>
  </conditionalFormatting>
  <conditionalFormatting sqref="E3:E4">
    <cfRule type="cellIs" dxfId="98" priority="91" operator="greaterThan">
      <formula>0</formula>
    </cfRule>
  </conditionalFormatting>
  <conditionalFormatting sqref="E5:E8">
    <cfRule type="cellIs" dxfId="97" priority="76" operator="greaterThan">
      <formula>0</formula>
    </cfRule>
  </conditionalFormatting>
  <conditionalFormatting sqref="E9:E14">
    <cfRule type="cellIs" dxfId="96" priority="71" operator="greaterThan">
      <formula>0</formula>
    </cfRule>
  </conditionalFormatting>
  <conditionalFormatting sqref="E15:E18">
    <cfRule type="cellIs" dxfId="95" priority="11" operator="greaterThan">
      <formula>0</formula>
    </cfRule>
  </conditionalFormatting>
  <conditionalFormatting sqref="E40 F40:H44 H45">
    <cfRule type="expression" dxfId="94" priority="31">
      <formula>$E$4=0</formula>
    </cfRule>
  </conditionalFormatting>
  <conditionalFormatting sqref="E4:H4">
    <cfRule type="expression" dxfId="93" priority="83">
      <formula>$E$4&gt;5000</formula>
    </cfRule>
  </conditionalFormatting>
  <conditionalFormatting sqref="E5:H5">
    <cfRule type="expression" dxfId="92" priority="75">
      <formula>$E$5&gt;5000</formula>
    </cfRule>
  </conditionalFormatting>
  <conditionalFormatting sqref="H32">
    <cfRule type="expression" dxfId="91" priority="84">
      <formula>$H$32&gt;60</formula>
    </cfRule>
  </conditionalFormatting>
  <conditionalFormatting sqref="H47">
    <cfRule type="expression" dxfId="90" priority="14">
      <formula>$H$47&gt;60</formula>
    </cfRule>
  </conditionalFormatting>
  <conditionalFormatting sqref="L4">
    <cfRule type="expression" dxfId="89" priority="86">
      <formula>$L$4&gt;3200</formula>
    </cfRule>
  </conditionalFormatting>
  <conditionalFormatting sqref="L5">
    <cfRule type="expression" dxfId="88" priority="98">
      <formula>AND(OR($L$5&lt;500,$L$5&gt;1200),$E$4&gt;0)</formula>
    </cfRule>
  </conditionalFormatting>
  <conditionalFormatting sqref="N4">
    <cfRule type="expression" dxfId="87" priority="72">
      <formula>$L$4&gt;3200</formula>
    </cfRule>
  </conditionalFormatting>
  <conditionalFormatting sqref="N4:N5">
    <cfRule type="expression" dxfId="86" priority="73">
      <formula>$E$4=0</formula>
    </cfRule>
  </conditionalFormatting>
  <conditionalFormatting sqref="N5">
    <cfRule type="expression" dxfId="85" priority="74">
      <formula>AND(OR($N$5&lt;500,$N$5&gt;1200),$E$4&gt;0)</formula>
    </cfRule>
  </conditionalFormatting>
  <conditionalFormatting sqref="T9:AI9 T10:AG10 U11:AI11 Y13:AI13 V15:AI15 V17:AI17 L4:L5 M9:R9 P10 AI10 M11:R11 M12:N12 T12 U12:U19 O13:R13 M14:N14 T14 M15:R15 N16 T16 M17:R17 T18 T20 E25 F25:H29 P25:R43 T28:T44 H30 Q44:R45 P45:P46 U45:U46 T46">
    <cfRule type="expression" dxfId="84" priority="96">
      <formula>$E$4=0</formula>
    </cfRule>
  </conditionalFormatting>
  <conditionalFormatting sqref="V17:AG17 V9:AG11 V13:AG15">
    <cfRule type="cellIs" dxfId="83" priority="88" operator="equal">
      <formula>0</formula>
    </cfRule>
  </conditionalFormatting>
  <conditionalFormatting sqref="Y17">
    <cfRule type="expression" dxfId="82" priority="62">
      <formula>$E$4=0</formula>
    </cfRule>
    <cfRule type="cellIs" dxfId="81" priority="61" operator="equal">
      <formula>0</formula>
    </cfRule>
  </conditionalFormatting>
  <conditionalFormatting sqref="AA17:AC17">
    <cfRule type="expression" dxfId="80" priority="54">
      <formula>$E$4=0</formula>
    </cfRule>
    <cfRule type="cellIs" dxfId="79" priority="53" operator="equal">
      <formula>0</formula>
    </cfRule>
  </conditionalFormatting>
  <conditionalFormatting sqref="AE17">
    <cfRule type="expression" dxfId="78" priority="58">
      <formula>$E$4=0</formula>
    </cfRule>
    <cfRule type="cellIs" dxfId="77" priority="57" operator="equal">
      <formula>0</formula>
    </cfRule>
  </conditionalFormatting>
  <conditionalFormatting sqref="AI21 AJ41:AN41 AS41:AX41">
    <cfRule type="expression" dxfId="76" priority="97">
      <formula>$E$4=0</formula>
    </cfRule>
  </conditionalFormatting>
  <conditionalFormatting sqref="AI19:AU19">
    <cfRule type="expression" dxfId="75" priority="7">
      <formula>$E$4=0</formula>
    </cfRule>
  </conditionalFormatting>
  <conditionalFormatting sqref="AJ9:AU17">
    <cfRule type="expression" dxfId="74" priority="3">
      <formula>$E$4=0</formula>
    </cfRule>
  </conditionalFormatting>
  <conditionalFormatting sqref="AJ41:AX41 U1:AN2 AO1:AX6 U3 W3 Z3:AA3 AC3:AN4 U4:Z4 U5:AN8 AO7:AU8 U9:AI17 U18:AU19 U20:AB20 AJ20:AX20 AC21:AI21 U23:AX23 U39:AX40 U41:AB41 U42:AX47">
    <cfRule type="expression" dxfId="73" priority="18">
      <formula>$O$3=$CF$10</formula>
    </cfRule>
  </conditionalFormatting>
  <conditionalFormatting sqref="AO41:AR41">
    <cfRule type="expression" dxfId="72" priority="8">
      <formula>$E$4=0</formula>
    </cfRule>
  </conditionalFormatting>
  <conditionalFormatting sqref="AO39:AX47 U1:AN2 S1:T3 AO1:AX6 U3 W3 Z3:AA3 AC3:AN4 U4:Z4 T4:T5 U5:AN8 S6:T6 AO7:AU8 T7:T21 U9:AI17 U18:AU19 U20:AB20 AJ20:AX20 AC21:AI21 S22:T23 U23:AX23 T24:T46 U39:AN40 U41:AB41 AJ41:AN41 U42:AN46 T47:AN47">
    <cfRule type="expression" dxfId="71" priority="20">
      <formula>$O$3=$CF$9</formula>
    </cfRule>
  </conditionalFormatting>
  <dataValidations count="10">
    <dataValidation type="list" allowBlank="1" showInputMessage="1" showErrorMessage="1" sqref="E7" xr:uid="{00000000-0002-0000-0100-000000000000}">
      <formula1>$CG$6:$CG$7</formula1>
    </dataValidation>
    <dataValidation type="list" allowBlank="1" showInputMessage="1" showErrorMessage="1" sqref="E6" xr:uid="{00000000-0002-0000-0100-000001000000}">
      <formula1>$CA$59:$CA$63</formula1>
    </dataValidation>
    <dataValidation type="whole" allowBlank="1" showInputMessage="1" showErrorMessage="1" sqref="E16" xr:uid="{00000000-0002-0000-0100-000002000000}">
      <formula1>0</formula1>
      <formula2>20</formula2>
    </dataValidation>
    <dataValidation type="list" allowBlank="1" showInputMessage="1" showErrorMessage="1" sqref="E13" xr:uid="{00000000-0002-0000-0100-000003000000}">
      <formula1>$BY$36:$BY$39</formula1>
    </dataValidation>
    <dataValidation type="list" allowBlank="1" showInputMessage="1" showErrorMessage="1" sqref="C25:C29 C40:C44" xr:uid="{00000000-0002-0000-0100-000004000000}">
      <formula1>$BY$27:$BY$29</formula1>
    </dataValidation>
    <dataValidation type="list" allowBlank="1" showInputMessage="1" showErrorMessage="1" sqref="E18 E14:E15 E11:E12" xr:uid="{00000000-0002-0000-0100-000005000000}">
      <formula1>$BY$23:$BY$24</formula1>
    </dataValidation>
    <dataValidation type="list" allowBlank="1" showInputMessage="1" showErrorMessage="1" sqref="E9:H10" xr:uid="{00000000-0002-0000-0100-000006000000}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 xr:uid="{00000000-0002-0000-0100-000007000000}">
      <formula1>0</formula1>
      <formula2>10</formula2>
    </dataValidation>
    <dataValidation type="list" allowBlank="1" showInputMessage="1" showErrorMessage="1" sqref="E8:H8" xr:uid="{00000000-0002-0000-0100-000008000000}">
      <formula1>$BY$50:$BY$62</formula1>
    </dataValidation>
    <dataValidation type="list" allowBlank="1" showInputMessage="1" showErrorMessage="1" sqref="Z3:AA3" xr:uid="{00000000-0002-0000-0100-000009000000}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theme="1"/>
    <pageSetUpPr fitToPage="1"/>
  </sheetPr>
  <dimension ref="B1:CH65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6640625" style="75" customWidth="1"/>
    <col min="19" max="19" width="1.77734375" style="1" customWidth="1"/>
    <col min="20" max="20" width="37.5546875" style="91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2:83" ht="25.05" customHeight="1" x14ac:dyDescent="0.3">
      <c r="B1" s="441" t="s">
        <v>104</v>
      </c>
      <c r="C1" s="441"/>
      <c r="D1" s="441"/>
      <c r="E1" s="441"/>
      <c r="F1" s="441"/>
      <c r="G1" s="441"/>
      <c r="H1" s="441"/>
      <c r="I1" s="118"/>
      <c r="J1" s="441" t="s">
        <v>105</v>
      </c>
      <c r="K1" s="441"/>
      <c r="L1" s="441"/>
      <c r="M1" s="441"/>
      <c r="N1" s="441"/>
      <c r="O1" s="441"/>
    </row>
    <row r="2" spans="2:83" ht="25.05" customHeight="1" thickBot="1" x14ac:dyDescent="0.35"/>
    <row r="3" spans="2:83" ht="25.05" customHeight="1" thickBot="1" x14ac:dyDescent="0.35">
      <c r="B3" s="426" t="s">
        <v>121</v>
      </c>
      <c r="C3" s="427"/>
      <c r="D3" s="427"/>
      <c r="E3" s="481">
        <v>2600</v>
      </c>
      <c r="F3" s="434"/>
      <c r="G3" s="434"/>
      <c r="H3" s="435"/>
      <c r="I3" s="38"/>
      <c r="J3" s="444" t="s">
        <v>263</v>
      </c>
      <c r="K3" s="445"/>
      <c r="N3" s="323"/>
      <c r="O3" s="323"/>
      <c r="P3" s="38"/>
      <c r="Q3" s="38"/>
      <c r="R3" s="3"/>
      <c r="S3" s="3"/>
      <c r="T3" s="3"/>
      <c r="V3" s="291"/>
      <c r="W3" s="501" t="s">
        <v>417</v>
      </c>
      <c r="X3" s="501"/>
      <c r="Y3" s="501"/>
      <c r="Z3" s="417" t="s">
        <v>418</v>
      </c>
      <c r="AA3" s="417"/>
      <c r="AB3" s="291"/>
      <c r="AC3" s="291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BE3" s="186" t="s">
        <v>418</v>
      </c>
    </row>
    <row r="4" spans="2:83" ht="25.05" customHeight="1" x14ac:dyDescent="0.3">
      <c r="B4" s="428" t="s">
        <v>120</v>
      </c>
      <c r="C4" s="429"/>
      <c r="D4" s="429"/>
      <c r="E4" s="480">
        <v>1200</v>
      </c>
      <c r="F4" s="436"/>
      <c r="G4" s="436"/>
      <c r="H4" s="437"/>
      <c r="J4" s="17" t="s">
        <v>18</v>
      </c>
      <c r="K4" s="231">
        <f>IF(E8=BV6,E3-77,E3-57)</f>
        <v>2523</v>
      </c>
      <c r="R4" s="396" t="s">
        <v>453</v>
      </c>
    </row>
    <row r="5" spans="2:83" ht="25.05" customHeight="1" thickBot="1" x14ac:dyDescent="0.35">
      <c r="B5" s="428" t="s">
        <v>442</v>
      </c>
      <c r="C5" s="429"/>
      <c r="D5" s="429"/>
      <c r="E5" s="482">
        <v>1</v>
      </c>
      <c r="F5" s="384"/>
      <c r="G5" s="384"/>
      <c r="H5" s="385"/>
      <c r="J5" s="119" t="s">
        <v>19</v>
      </c>
      <c r="K5" s="232">
        <f>ROUNDDOWN(IF(E9=BV9,(E4-10-10-2)/2,
IF(E9=BV10,(E4-10-10-2-2-10)/4,0)),0)</f>
        <v>589</v>
      </c>
      <c r="R5" s="397"/>
      <c r="AZ5" s="111" t="s">
        <v>256</v>
      </c>
      <c r="BA5" s="111"/>
      <c r="BB5" s="111"/>
      <c r="BC5" s="139">
        <v>4950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V5" s="1" t="s">
        <v>89</v>
      </c>
      <c r="BY5" s="1" t="s">
        <v>451</v>
      </c>
      <c r="BZ5" s="1" t="s">
        <v>237</v>
      </c>
      <c r="CA5" s="1">
        <f>IF(E6=BY5,9,8)</f>
        <v>8</v>
      </c>
    </row>
    <row r="6" spans="2:83" ht="25.05" customHeight="1" thickBot="1" x14ac:dyDescent="0.35">
      <c r="B6" s="428" t="s">
        <v>236</v>
      </c>
      <c r="C6" s="429"/>
      <c r="D6" s="429"/>
      <c r="E6" s="482" t="s">
        <v>452</v>
      </c>
      <c r="F6" s="384"/>
      <c r="G6" s="384"/>
      <c r="H6" s="385"/>
      <c r="AZ6" s="111" t="s">
        <v>257</v>
      </c>
      <c r="BA6" s="111"/>
      <c r="BB6" s="111"/>
      <c r="BC6" s="111">
        <v>5025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  <c r="BV6" s="1" t="s">
        <v>154</v>
      </c>
      <c r="BY6" s="1" t="s">
        <v>452</v>
      </c>
      <c r="BZ6" s="1" t="s">
        <v>253</v>
      </c>
    </row>
    <row r="7" spans="2:83" ht="25.05" customHeight="1" x14ac:dyDescent="0.3">
      <c r="B7" s="428" t="s">
        <v>122</v>
      </c>
      <c r="C7" s="429"/>
      <c r="D7" s="429"/>
      <c r="E7" s="483" t="s">
        <v>227</v>
      </c>
      <c r="F7" s="484"/>
      <c r="G7" s="484"/>
      <c r="H7" s="485"/>
      <c r="J7" s="503" t="s">
        <v>181</v>
      </c>
      <c r="K7" s="504"/>
      <c r="L7" s="504"/>
      <c r="M7" s="504"/>
      <c r="N7" s="318"/>
      <c r="O7" s="107"/>
      <c r="P7" s="259"/>
      <c r="Q7" s="259"/>
      <c r="R7" s="202"/>
      <c r="S7" s="146"/>
      <c r="T7" s="252"/>
      <c r="U7" s="418" t="s">
        <v>100</v>
      </c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9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  <c r="BX7" s="7"/>
    </row>
    <row r="8" spans="2:83" ht="25.05" customHeight="1" x14ac:dyDescent="0.3">
      <c r="B8" s="497" t="s">
        <v>123</v>
      </c>
      <c r="C8" s="498"/>
      <c r="D8" s="498"/>
      <c r="E8" s="486" t="s">
        <v>154</v>
      </c>
      <c r="F8" s="487"/>
      <c r="G8" s="487"/>
      <c r="H8" s="488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110"/>
      <c r="Q8" s="110"/>
      <c r="R8" s="203" t="s">
        <v>24</v>
      </c>
      <c r="S8" s="110"/>
      <c r="T8" s="316"/>
      <c r="U8" s="81">
        <v>1000</v>
      </c>
      <c r="V8" s="81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</row>
    <row r="9" spans="2:83" ht="25.05" customHeight="1" x14ac:dyDescent="0.35">
      <c r="B9" s="430" t="s">
        <v>124</v>
      </c>
      <c r="C9" s="431"/>
      <c r="D9" s="431"/>
      <c r="E9" s="482">
        <v>1</v>
      </c>
      <c r="F9" s="384"/>
      <c r="G9" s="384"/>
      <c r="H9" s="385"/>
      <c r="J9" s="18" t="s">
        <v>2</v>
      </c>
      <c r="K9" s="181" t="s">
        <v>189</v>
      </c>
      <c r="L9" s="101">
        <f>K4</f>
        <v>2523</v>
      </c>
      <c r="M9" s="102">
        <f>IF(AND(E3&gt;0,E9=BV9),4,IF(AND(E3&gt;0,E9=BV10),8,0))</f>
        <v>4</v>
      </c>
      <c r="N9" s="99"/>
      <c r="O9" s="269">
        <f>IF(L9&gt;2650,M9,M9/2)</f>
        <v>2</v>
      </c>
      <c r="P9" s="213"/>
      <c r="Q9" s="213"/>
      <c r="R9" s="204">
        <f t="shared" ref="R9:R15" si="0">O9*BT9</f>
        <v>10821.96</v>
      </c>
      <c r="S9" s="199"/>
      <c r="T9" s="322" t="str">
        <f>J9</f>
        <v>вертикальный профиль</v>
      </c>
      <c r="U9" s="99">
        <f>IF($Z$3=$CE$21,AZ9,IF($Z$3=$CE$27,AZ35,IF($Z$3=$CE$28,AZ48,AZ22)))</f>
        <v>0</v>
      </c>
      <c r="V9" s="99">
        <f t="shared" ref="V9:AF9" si="1">IF($Z$3=$CE$21,BA9,IF($Z$3=$CE$27,BA35,IF($Z$3=$CE$28,BA48,BA22)))</f>
        <v>0</v>
      </c>
      <c r="W9" s="99">
        <f t="shared" si="1"/>
        <v>0</v>
      </c>
      <c r="X9" s="99">
        <f t="shared" si="1"/>
        <v>0</v>
      </c>
      <c r="Y9" s="99">
        <f t="shared" si="1"/>
        <v>0</v>
      </c>
      <c r="Z9" s="99">
        <f t="shared" si="1"/>
        <v>0</v>
      </c>
      <c r="AA9" s="99">
        <f t="shared" si="1"/>
        <v>0</v>
      </c>
      <c r="AB9" s="99">
        <f t="shared" si="1"/>
        <v>0</v>
      </c>
      <c r="AC9" s="99">
        <f t="shared" si="1"/>
        <v>0</v>
      </c>
      <c r="AD9" s="99">
        <f t="shared" si="1"/>
        <v>0</v>
      </c>
      <c r="AE9" s="99">
        <f t="shared" si="1"/>
        <v>0</v>
      </c>
      <c r="AF9" s="99">
        <f t="shared" si="1"/>
        <v>2</v>
      </c>
      <c r="AG9" s="96"/>
      <c r="AH9" s="320">
        <f>$R$9</f>
        <v>10821.96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0.69</v>
      </c>
      <c r="AY9" s="3">
        <f>AX9*L9*M9/1000</f>
        <v>6.9634799999999997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251">
        <f>O9</f>
        <v>2</v>
      </c>
      <c r="BL9" s="111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5410.98</v>
      </c>
      <c r="BV9" s="39">
        <v>1</v>
      </c>
      <c r="CE9" s="1" t="s">
        <v>455</v>
      </c>
    </row>
    <row r="10" spans="2:83" ht="25.05" customHeight="1" x14ac:dyDescent="0.3">
      <c r="B10" s="430" t="s">
        <v>172</v>
      </c>
      <c r="C10" s="431"/>
      <c r="D10" s="431"/>
      <c r="E10" s="489" t="s">
        <v>85</v>
      </c>
      <c r="F10" s="394"/>
      <c r="G10" s="394"/>
      <c r="H10" s="395"/>
      <c r="J10" s="18" t="s">
        <v>4</v>
      </c>
      <c r="K10" s="181" t="s">
        <v>190</v>
      </c>
      <c r="L10" s="101">
        <f>E4-2</f>
        <v>1198</v>
      </c>
      <c r="M10" s="102">
        <f>IF(E4=0,0,1)</f>
        <v>1</v>
      </c>
      <c r="N10" s="98">
        <f>L10*M10</f>
        <v>1198</v>
      </c>
      <c r="O10" s="269">
        <f>CEILING((L10*M10)/5000,1)</f>
        <v>1</v>
      </c>
      <c r="P10" s="213"/>
      <c r="Q10" s="213"/>
      <c r="R10" s="204">
        <f t="shared" si="0"/>
        <v>5816.07</v>
      </c>
      <c r="S10" s="199"/>
      <c r="T10" s="322" t="str">
        <f t="shared" ref="T10:T13" si="2">J10</f>
        <v>направляющая верхняя</v>
      </c>
      <c r="U10" s="99">
        <f>IF($Z$3=$CE$21,AZ10,IF($Z$3=$CE$27,AZ36,IF($Z$3=$CE$28,AZ49,AZ23)))</f>
        <v>0</v>
      </c>
      <c r="V10" s="99">
        <f t="shared" ref="V10:AF10" si="3">IF($Z$3=$CE$21,BA10,IF($Z$3=$CE$27,BA36,IF($Z$3=$CE$28,BA49,BA23)))</f>
        <v>0</v>
      </c>
      <c r="W10" s="99">
        <f t="shared" si="3"/>
        <v>0</v>
      </c>
      <c r="X10" s="99">
        <f t="shared" si="3"/>
        <v>0</v>
      </c>
      <c r="Y10" s="99">
        <f t="shared" si="3"/>
        <v>1</v>
      </c>
      <c r="Z10" s="99">
        <f t="shared" si="3"/>
        <v>0</v>
      </c>
      <c r="AA10" s="99">
        <f t="shared" si="3"/>
        <v>0</v>
      </c>
      <c r="AB10" s="99">
        <f t="shared" si="3"/>
        <v>0</v>
      </c>
      <c r="AC10" s="99">
        <f t="shared" si="3"/>
        <v>0</v>
      </c>
      <c r="AD10" s="99">
        <f t="shared" si="3"/>
        <v>0</v>
      </c>
      <c r="AE10" s="99">
        <f t="shared" si="3"/>
        <v>0</v>
      </c>
      <c r="AF10" s="99">
        <f t="shared" si="3"/>
        <v>0</v>
      </c>
      <c r="AG10" s="98">
        <f>AU10</f>
        <v>2500</v>
      </c>
      <c r="AH10" s="315">
        <f>Y10*BT10*0.5+AE10*BT10</f>
        <v>2908.0349999999999</v>
      </c>
      <c r="AI10" s="336">
        <f>U10*$U$8</f>
        <v>0</v>
      </c>
      <c r="AJ10" s="336">
        <f>V10*$V$8</f>
        <v>0</v>
      </c>
      <c r="AK10" s="336">
        <f>W10*$W$8</f>
        <v>0</v>
      </c>
      <c r="AL10" s="336">
        <f>X10*$X$8</f>
        <v>0</v>
      </c>
      <c r="AM10" s="336">
        <f>Y10*$Y$8</f>
        <v>2500</v>
      </c>
      <c r="AN10" s="336">
        <f>Z10*$Z$8</f>
        <v>0</v>
      </c>
      <c r="AO10" s="336">
        <f>AA10*$AA$8</f>
        <v>0</v>
      </c>
      <c r="AP10" s="336">
        <f>AB10*$AB$8</f>
        <v>0</v>
      </c>
      <c r="AQ10" s="336">
        <f>AC10*$AC$8</f>
        <v>0</v>
      </c>
      <c r="AR10" s="336">
        <f>AD10*$AD$8</f>
        <v>0</v>
      </c>
      <c r="AS10" s="336">
        <f>AE10*$AE$8</f>
        <v>0</v>
      </c>
      <c r="AT10" s="336">
        <f>AF10*$AF$8</f>
        <v>0</v>
      </c>
      <c r="AU10" s="336">
        <f>SUM(AI10:AT10)</f>
        <v>2500</v>
      </c>
      <c r="AV10" s="336"/>
      <c r="AW10" s="336"/>
      <c r="AX10" s="3"/>
      <c r="AY10" s="3"/>
      <c r="AZ10" s="113">
        <v>0</v>
      </c>
      <c r="BA10" s="113">
        <v>0</v>
      </c>
      <c r="BB10" s="113">
        <v>0</v>
      </c>
      <c r="BC10" s="113">
        <v>0</v>
      </c>
      <c r="BD10" s="111">
        <f>IF(AND(BL10&gt;0,BL10&lt;=2500),1,0)</f>
        <v>1</v>
      </c>
      <c r="BE10" s="113">
        <v>0</v>
      </c>
      <c r="BF10" s="113">
        <v>0</v>
      </c>
      <c r="BG10" s="113">
        <v>0</v>
      </c>
      <c r="BH10" s="113">
        <v>0</v>
      </c>
      <c r="BI10" s="113">
        <v>0</v>
      </c>
      <c r="BJ10" s="111">
        <f>IF(AND(BL10&gt;2500,BL10&lt;=BC5),BM10+1,BM10)</f>
        <v>0</v>
      </c>
      <c r="BK10" s="113">
        <v>0</v>
      </c>
      <c r="BL10" s="139">
        <f>$N$10-$BC$5*BM10</f>
        <v>1198</v>
      </c>
      <c r="BM10" s="111">
        <f>INT($N$10/$BC$5)</f>
        <v>0</v>
      </c>
      <c r="BN10" s="111"/>
      <c r="BO10" s="111"/>
      <c r="BP10" s="111"/>
      <c r="BQ10" s="111"/>
      <c r="BR10" s="111"/>
      <c r="BS10" s="3"/>
      <c r="BT10" s="3">
        <f t="array" ref="BT10">IFERROR(INDEX(Цены!J:J,MATCH(J10&amp;$E$7,Цены!C:C&amp;Цены!G:G,0)),Цены!J33)</f>
        <v>5816.07</v>
      </c>
      <c r="BV10" s="39">
        <v>2</v>
      </c>
      <c r="CE10" s="1" t="s">
        <v>453</v>
      </c>
    </row>
    <row r="11" spans="2:83" ht="25.05" customHeight="1" x14ac:dyDescent="0.3">
      <c r="B11" s="432" t="s">
        <v>158</v>
      </c>
      <c r="C11" s="433"/>
      <c r="D11" s="433"/>
      <c r="E11" s="489" t="s">
        <v>129</v>
      </c>
      <c r="F11" s="394"/>
      <c r="G11" s="394"/>
      <c r="H11" s="395"/>
      <c r="J11" s="18" t="s">
        <v>512</v>
      </c>
      <c r="K11" s="181" t="s">
        <v>214</v>
      </c>
      <c r="L11" s="101">
        <f>IF(E8=BV5,L10,0)</f>
        <v>0</v>
      </c>
      <c r="M11" s="102">
        <f>IF(E8=BV5,1,0)</f>
        <v>0</v>
      </c>
      <c r="N11" s="98">
        <f t="shared" ref="N11:N13" si="4">L11*M11</f>
        <v>0</v>
      </c>
      <c r="O11" s="269">
        <f>CEILING((L11*M11)/5400,1)</f>
        <v>0</v>
      </c>
      <c r="P11" s="213"/>
      <c r="Q11" s="213"/>
      <c r="R11" s="204">
        <f t="shared" si="0"/>
        <v>0</v>
      </c>
      <c r="S11" s="217"/>
      <c r="T11" s="322" t="str">
        <f t="shared" si="2"/>
        <v>направляющая верхняя однополозная</v>
      </c>
      <c r="U11" s="99">
        <f>IF($Z$3=$CE$21,AZ11,IF($Z$3=$CE$27,AZ37,IF($Z$3=$CE$28,AZ50,AZ24)))</f>
        <v>0</v>
      </c>
      <c r="V11" s="99">
        <f t="shared" ref="V11:AF15" si="5">IF($Z$3=$CE$21,BA11,IF($Z$3=$CE$27,BA37,IF($Z$3=$CE$28,BA50,BA24)))</f>
        <v>0</v>
      </c>
      <c r="W11" s="99">
        <f t="shared" si="5"/>
        <v>0</v>
      </c>
      <c r="X11" s="99">
        <f t="shared" si="5"/>
        <v>0</v>
      </c>
      <c r="Y11" s="99">
        <f t="shared" si="5"/>
        <v>0</v>
      </c>
      <c r="Z11" s="99">
        <f t="shared" si="5"/>
        <v>0</v>
      </c>
      <c r="AA11" s="99">
        <f t="shared" si="5"/>
        <v>0</v>
      </c>
      <c r="AB11" s="99">
        <f t="shared" si="5"/>
        <v>0</v>
      </c>
      <c r="AC11" s="99">
        <f t="shared" si="5"/>
        <v>0</v>
      </c>
      <c r="AD11" s="99">
        <f t="shared" si="5"/>
        <v>0</v>
      </c>
      <c r="AE11" s="99">
        <f t="shared" si="5"/>
        <v>0</v>
      </c>
      <c r="AF11" s="99">
        <f t="shared" si="5"/>
        <v>0</v>
      </c>
      <c r="AG11" s="98">
        <f t="shared" ref="AG11:AG15" si="6">AU11</f>
        <v>0</v>
      </c>
      <c r="AH11" s="320">
        <f>(Z11*0.5+AF11)*BT11</f>
        <v>0</v>
      </c>
      <c r="AI11" s="336">
        <f t="shared" ref="AI11:AI15" si="7">U11*$U$8</f>
        <v>0</v>
      </c>
      <c r="AJ11" s="336">
        <f t="shared" ref="AJ11:AJ15" si="8">V11*$V$8</f>
        <v>0</v>
      </c>
      <c r="AK11" s="336">
        <f t="shared" ref="AK11:AK15" si="9">W11*$W$8</f>
        <v>0</v>
      </c>
      <c r="AL11" s="336">
        <f t="shared" ref="AL11:AL15" si="10">X11*$X$8</f>
        <v>0</v>
      </c>
      <c r="AM11" s="336">
        <f t="shared" ref="AM11:AM15" si="11">Y11*$Y$8</f>
        <v>0</v>
      </c>
      <c r="AN11" s="336">
        <f t="shared" ref="AN11:AN15" si="12">Z11*$Z$8</f>
        <v>0</v>
      </c>
      <c r="AO11" s="336">
        <f t="shared" ref="AO11:AO15" si="13">AA11*$AA$8</f>
        <v>0</v>
      </c>
      <c r="AP11" s="336">
        <f t="shared" ref="AP11:AP15" si="14">AB11*$AB$8</f>
        <v>0</v>
      </c>
      <c r="AQ11" s="336">
        <f t="shared" ref="AQ11:AQ15" si="15">AC11*$AC$8</f>
        <v>0</v>
      </c>
      <c r="AR11" s="336">
        <f t="shared" ref="AR11:AR15" si="16">AD11*$AD$8</f>
        <v>0</v>
      </c>
      <c r="AS11" s="336">
        <f t="shared" ref="AS11:AS15" si="17">AE11*$AE$8</f>
        <v>0</v>
      </c>
      <c r="AT11" s="336">
        <f t="shared" ref="AT11:AT15" si="18">AF11*$AF$8</f>
        <v>0</v>
      </c>
      <c r="AU11" s="336">
        <f t="shared" ref="AU11:AU15" si="19">SUM(AI11:AT11)</f>
        <v>0</v>
      </c>
      <c r="AV11" s="345"/>
      <c r="AW11" s="345"/>
      <c r="AX11" s="3"/>
      <c r="AY11" s="3"/>
      <c r="AZ11" s="113">
        <v>0</v>
      </c>
      <c r="BA11" s="113">
        <v>0</v>
      </c>
      <c r="BB11" s="113">
        <v>0</v>
      </c>
      <c r="BC11" s="113">
        <v>0</v>
      </c>
      <c r="BD11" s="113">
        <v>0</v>
      </c>
      <c r="BE11" s="111">
        <f>IF(AND(BL11&gt;0,BL11&lt;=2700),1,0)</f>
        <v>0</v>
      </c>
      <c r="BF11" s="113">
        <v>0</v>
      </c>
      <c r="BG11" s="113">
        <v>0</v>
      </c>
      <c r="BH11" s="113">
        <v>0</v>
      </c>
      <c r="BI11" s="113">
        <v>0</v>
      </c>
      <c r="BJ11" s="113">
        <v>0</v>
      </c>
      <c r="BK11" s="111">
        <f>IF(AND(BL11&gt;2700,BL11&lt;=BC7),BM11+1,BM11)</f>
        <v>0</v>
      </c>
      <c r="BL11" s="139">
        <f>$N$11-$BC$7*BM11</f>
        <v>0</v>
      </c>
      <c r="BM11" s="111">
        <f>INT($N$11/$BC$7)</f>
        <v>0</v>
      </c>
      <c r="BN11" s="111"/>
      <c r="BO11" s="111"/>
      <c r="BP11" s="111"/>
      <c r="BQ11" s="111"/>
      <c r="BR11" s="111"/>
      <c r="BS11" s="3"/>
      <c r="BT11" s="3">
        <f t="array" ref="BT11">INDEX(Цены!J:J,MATCH(J11&amp;$E$7,Цены!C:C&amp;Цены!G:G,0))</f>
        <v>3483.76</v>
      </c>
      <c r="CE11" s="1" t="s">
        <v>454</v>
      </c>
    </row>
    <row r="12" spans="2:83" ht="25.05" customHeight="1" thickBot="1" x14ac:dyDescent="0.35">
      <c r="B12" s="499" t="s">
        <v>171</v>
      </c>
      <c r="C12" s="500"/>
      <c r="D12" s="500"/>
      <c r="E12" s="490">
        <v>450</v>
      </c>
      <c r="F12" s="491"/>
      <c r="G12" s="491"/>
      <c r="H12" s="492"/>
      <c r="J12" s="18" t="s">
        <v>5</v>
      </c>
      <c r="K12" s="181" t="s">
        <v>191</v>
      </c>
      <c r="L12" s="101">
        <f>IF(E8=BV6,L10,0)</f>
        <v>1198</v>
      </c>
      <c r="M12" s="102">
        <f>IF(E8=BV6,1,0)</f>
        <v>1</v>
      </c>
      <c r="N12" s="98">
        <f t="shared" si="4"/>
        <v>1198</v>
      </c>
      <c r="O12" s="269">
        <f>CEILING((L12*M12)/5000,1)</f>
        <v>1</v>
      </c>
      <c r="P12" s="213"/>
      <c r="Q12" s="213"/>
      <c r="R12" s="204">
        <f t="shared" si="0"/>
        <v>1892.95</v>
      </c>
      <c r="S12" s="199"/>
      <c r="T12" s="322" t="str">
        <f t="shared" si="2"/>
        <v>накладка декоративная</v>
      </c>
      <c r="U12" s="99">
        <f t="shared" ref="U12:U15" si="20">IF($Z$3=$CE$21,AZ12,IF($Z$3=$CE$27,AZ38,IF($Z$3=$CE$28,AZ51,AZ25)))</f>
        <v>0</v>
      </c>
      <c r="V12" s="99">
        <f t="shared" si="5"/>
        <v>0</v>
      </c>
      <c r="W12" s="99">
        <f t="shared" si="5"/>
        <v>0</v>
      </c>
      <c r="X12" s="99">
        <f t="shared" si="5"/>
        <v>0</v>
      </c>
      <c r="Y12" s="99">
        <f t="shared" si="5"/>
        <v>1</v>
      </c>
      <c r="Z12" s="99">
        <f t="shared" si="5"/>
        <v>0</v>
      </c>
      <c r="AA12" s="99">
        <f t="shared" si="5"/>
        <v>0</v>
      </c>
      <c r="AB12" s="99">
        <f t="shared" si="5"/>
        <v>0</v>
      </c>
      <c r="AC12" s="99">
        <f t="shared" si="5"/>
        <v>0</v>
      </c>
      <c r="AD12" s="99">
        <f t="shared" si="5"/>
        <v>0</v>
      </c>
      <c r="AE12" s="99">
        <f t="shared" si="5"/>
        <v>0</v>
      </c>
      <c r="AF12" s="99">
        <f t="shared" si="5"/>
        <v>0</v>
      </c>
      <c r="AG12" s="98">
        <f t="shared" si="6"/>
        <v>2500</v>
      </c>
      <c r="AH12" s="315">
        <f>(Y12*0.5+AE12)*BT12</f>
        <v>946.47500000000002</v>
      </c>
      <c r="AI12" s="336">
        <f t="shared" si="7"/>
        <v>0</v>
      </c>
      <c r="AJ12" s="336">
        <f t="shared" si="8"/>
        <v>0</v>
      </c>
      <c r="AK12" s="336">
        <f t="shared" si="9"/>
        <v>0</v>
      </c>
      <c r="AL12" s="336">
        <f t="shared" si="10"/>
        <v>0</v>
      </c>
      <c r="AM12" s="336">
        <f t="shared" si="11"/>
        <v>2500</v>
      </c>
      <c r="AN12" s="336">
        <f t="shared" si="12"/>
        <v>0</v>
      </c>
      <c r="AO12" s="336">
        <f t="shared" si="13"/>
        <v>0</v>
      </c>
      <c r="AP12" s="336">
        <f t="shared" si="14"/>
        <v>0</v>
      </c>
      <c r="AQ12" s="336">
        <f t="shared" si="15"/>
        <v>0</v>
      </c>
      <c r="AR12" s="336">
        <f t="shared" si="16"/>
        <v>0</v>
      </c>
      <c r="AS12" s="336">
        <f t="shared" si="17"/>
        <v>0</v>
      </c>
      <c r="AT12" s="336">
        <f t="shared" si="18"/>
        <v>0</v>
      </c>
      <c r="AU12" s="336">
        <f t="shared" si="19"/>
        <v>2500</v>
      </c>
      <c r="AV12" s="336"/>
      <c r="AW12" s="336"/>
      <c r="AX12" s="3"/>
      <c r="AY12" s="3"/>
      <c r="AZ12" s="113">
        <v>0</v>
      </c>
      <c r="BA12" s="113">
        <v>0</v>
      </c>
      <c r="BB12" s="113">
        <v>0</v>
      </c>
      <c r="BC12" s="113">
        <v>0</v>
      </c>
      <c r="BD12" s="111">
        <f>IF(AND(BL12&gt;0,BL12&lt;=2500),1,0)</f>
        <v>1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1">
        <f>IF(AND(BL12&gt;2500,BL12&lt;=BC6),BM12+1,BM12)</f>
        <v>0</v>
      </c>
      <c r="BK12" s="113">
        <v>0</v>
      </c>
      <c r="BL12" s="139">
        <f>$N$12-$BC$6*BM12</f>
        <v>1198</v>
      </c>
      <c r="BM12" s="111">
        <f>INT($N$12/$BC$6)</f>
        <v>0</v>
      </c>
      <c r="BN12" s="111"/>
      <c r="BO12" s="111"/>
      <c r="BP12" s="111"/>
      <c r="BQ12" s="111"/>
      <c r="BR12" s="111"/>
      <c r="BS12" s="3"/>
      <c r="BT12" s="3">
        <f t="array" ref="BT12">INDEX(Цены!J:J,MATCH(J12&amp;$E$7,Цены!C:C&amp;Цены!G:G,0))</f>
        <v>1892.95</v>
      </c>
    </row>
    <row r="13" spans="2:83" ht="25.05" customHeight="1" x14ac:dyDescent="0.3">
      <c r="J13" s="18" t="s">
        <v>3</v>
      </c>
      <c r="K13" s="181" t="s">
        <v>252</v>
      </c>
      <c r="L13" s="101">
        <f>K5-78</f>
        <v>511</v>
      </c>
      <c r="M13" s="102">
        <f>IF(E4=0,0,E9*4)</f>
        <v>4</v>
      </c>
      <c r="N13" s="98">
        <f t="shared" si="4"/>
        <v>2044</v>
      </c>
      <c r="O13" s="269">
        <f>BM13+IF(BL13&gt;0,1,0)</f>
        <v>1</v>
      </c>
      <c r="P13" s="213"/>
      <c r="Q13" s="213"/>
      <c r="R13" s="204">
        <f t="shared" si="0"/>
        <v>3267.15</v>
      </c>
      <c r="S13" s="199"/>
      <c r="T13" s="322" t="str">
        <f t="shared" si="2"/>
        <v>рамка верхняя</v>
      </c>
      <c r="U13" s="99">
        <f t="shared" si="20"/>
        <v>0</v>
      </c>
      <c r="V13" s="99">
        <f t="shared" si="5"/>
        <v>0</v>
      </c>
      <c r="W13" s="99">
        <f t="shared" si="5"/>
        <v>0</v>
      </c>
      <c r="X13" s="99">
        <f t="shared" si="5"/>
        <v>0</v>
      </c>
      <c r="Y13" s="99">
        <f t="shared" si="5"/>
        <v>0</v>
      </c>
      <c r="Z13" s="99">
        <f t="shared" si="5"/>
        <v>0</v>
      </c>
      <c r="AA13" s="99">
        <f t="shared" si="5"/>
        <v>1</v>
      </c>
      <c r="AB13" s="99">
        <f t="shared" si="5"/>
        <v>0</v>
      </c>
      <c r="AC13" s="99">
        <f t="shared" si="5"/>
        <v>0</v>
      </c>
      <c r="AD13" s="99">
        <f t="shared" si="5"/>
        <v>0</v>
      </c>
      <c r="AE13" s="99">
        <f t="shared" si="5"/>
        <v>0</v>
      </c>
      <c r="AF13" s="99">
        <f t="shared" si="5"/>
        <v>0</v>
      </c>
      <c r="AG13" s="98">
        <f t="shared" si="6"/>
        <v>3000</v>
      </c>
      <c r="AH13" s="315">
        <f>(U13*0.2+V13*0.25+X13*0.4+Y13*0.5+AA13*0.6+AC13*0.75+AD13*0.8+AE13)*BT13</f>
        <v>1960.29</v>
      </c>
      <c r="AI13" s="336">
        <f t="shared" si="7"/>
        <v>0</v>
      </c>
      <c r="AJ13" s="336">
        <f t="shared" si="8"/>
        <v>0</v>
      </c>
      <c r="AK13" s="336">
        <f t="shared" si="9"/>
        <v>0</v>
      </c>
      <c r="AL13" s="336">
        <f t="shared" si="10"/>
        <v>0</v>
      </c>
      <c r="AM13" s="336">
        <f t="shared" si="11"/>
        <v>0</v>
      </c>
      <c r="AN13" s="336">
        <f t="shared" si="12"/>
        <v>0</v>
      </c>
      <c r="AO13" s="336">
        <f t="shared" si="13"/>
        <v>3000</v>
      </c>
      <c r="AP13" s="336">
        <f t="shared" si="14"/>
        <v>0</v>
      </c>
      <c r="AQ13" s="336">
        <f t="shared" si="15"/>
        <v>0</v>
      </c>
      <c r="AR13" s="336">
        <f t="shared" si="16"/>
        <v>0</v>
      </c>
      <c r="AS13" s="336">
        <f t="shared" si="17"/>
        <v>0</v>
      </c>
      <c r="AT13" s="336">
        <f t="shared" si="18"/>
        <v>0</v>
      </c>
      <c r="AU13" s="336">
        <f t="shared" si="19"/>
        <v>3000</v>
      </c>
      <c r="AV13" s="336"/>
      <c r="AW13" s="336"/>
      <c r="AX13" s="288">
        <v>0.47399999999999998</v>
      </c>
      <c r="AY13" s="3">
        <f>AX13*L13*M13/1000</f>
        <v>0.96885599999999994</v>
      </c>
      <c r="AZ13" s="111">
        <f>IF(AND(BL13&gt;0,BL13&lt;=1000),1,0)</f>
        <v>0</v>
      </c>
      <c r="BA13" s="113">
        <v>0</v>
      </c>
      <c r="BB13" s="113">
        <v>0</v>
      </c>
      <c r="BC13" s="111">
        <f>IF(AND(BL13&gt;1000,BL13&lt;=2000),1,0)</f>
        <v>0</v>
      </c>
      <c r="BD13" s="113">
        <v>0</v>
      </c>
      <c r="BE13" s="113">
        <v>0</v>
      </c>
      <c r="BF13" s="111">
        <f>IF(AND(BL13&gt;2000,BL13&lt;=3000),1,0)</f>
        <v>1</v>
      </c>
      <c r="BG13" s="113">
        <v>0</v>
      </c>
      <c r="BH13" s="113">
        <v>0</v>
      </c>
      <c r="BI13" s="111">
        <f>IF(AND(BL13&gt;3000,BL13&lt;=4000),1,0)</f>
        <v>0</v>
      </c>
      <c r="BJ13" s="111">
        <f>IF(AND(BL13&gt;4000,BL13&lt;=BC5),BM13+1,BM13)</f>
        <v>0</v>
      </c>
      <c r="BK13" s="113">
        <v>0</v>
      </c>
      <c r="BL13" s="139">
        <f>N13-INT($BC$5/L13)*L13*BM13</f>
        <v>2044</v>
      </c>
      <c r="BM13" s="111">
        <f>INT(M13/INT($BC$5/L13))</f>
        <v>0</v>
      </c>
      <c r="BN13" s="111"/>
      <c r="BO13" s="111"/>
      <c r="BP13" s="111"/>
      <c r="BQ13" s="111"/>
      <c r="BR13" s="141"/>
      <c r="BS13" s="121"/>
      <c r="BT13" s="3">
        <f t="array" ref="BT13">INDEX(Цены!J:J,MATCH(J13&amp;$E$7,Цены!C:C&amp;Цены!G:G,0))</f>
        <v>3267.15</v>
      </c>
      <c r="BV13" s="5" t="s">
        <v>10</v>
      </c>
    </row>
    <row r="14" spans="2:83" ht="25.05" customHeight="1" thickBot="1" x14ac:dyDescent="0.35">
      <c r="J14" s="105" t="str">
        <f>E6</f>
        <v>рамка средняя 4в1</v>
      </c>
      <c r="K14" s="181" t="str">
        <f>IF(J14=BY5,BZ5,BZ6)</f>
        <v>FA0716.VP500</v>
      </c>
      <c r="L14" s="101">
        <f>IF(AND(E6=BY6,E5&gt;0),K5-78,IF(AND(E6=BY5,E5&gt;0),K5-76,0))</f>
        <v>511</v>
      </c>
      <c r="M14" s="102">
        <f>E5*2*E9</f>
        <v>2</v>
      </c>
      <c r="N14" s="98">
        <f>L14*M14</f>
        <v>1022</v>
      </c>
      <c r="O14" s="269">
        <f>IF(J14=BY6,BM14+IF(BL14&gt;0,1,0),BP14+IF(BO14&gt;0,1,0))</f>
        <v>1</v>
      </c>
      <c r="P14" s="213"/>
      <c r="Q14" s="213"/>
      <c r="R14" s="225">
        <f t="shared" si="0"/>
        <v>3828.23</v>
      </c>
      <c r="S14" s="199"/>
      <c r="T14" s="322" t="str">
        <f>J14</f>
        <v>рамка средняя 4в1</v>
      </c>
      <c r="U14" s="99">
        <f t="shared" si="20"/>
        <v>0</v>
      </c>
      <c r="V14" s="99">
        <f t="shared" si="5"/>
        <v>0</v>
      </c>
      <c r="W14" s="99">
        <f t="shared" si="5"/>
        <v>0</v>
      </c>
      <c r="X14" s="99">
        <f t="shared" si="5"/>
        <v>1</v>
      </c>
      <c r="Y14" s="99">
        <f t="shared" si="5"/>
        <v>0</v>
      </c>
      <c r="Z14" s="99">
        <f t="shared" si="5"/>
        <v>0</v>
      </c>
      <c r="AA14" s="99">
        <f t="shared" si="5"/>
        <v>0</v>
      </c>
      <c r="AB14" s="99">
        <f t="shared" si="5"/>
        <v>0</v>
      </c>
      <c r="AC14" s="99">
        <f t="shared" si="5"/>
        <v>0</v>
      </c>
      <c r="AD14" s="99">
        <f t="shared" si="5"/>
        <v>0</v>
      </c>
      <c r="AE14" s="99">
        <f t="shared" si="5"/>
        <v>0</v>
      </c>
      <c r="AF14" s="99">
        <f t="shared" si="5"/>
        <v>0</v>
      </c>
      <c r="AG14" s="98">
        <f t="shared" si="6"/>
        <v>2000</v>
      </c>
      <c r="AH14" s="315">
        <f>IF($E$6=$BY$5,AW15,AV15)</f>
        <v>1531.2920000000001</v>
      </c>
      <c r="AI14" s="336">
        <f t="shared" si="7"/>
        <v>0</v>
      </c>
      <c r="AJ14" s="336">
        <f t="shared" si="8"/>
        <v>0</v>
      </c>
      <c r="AK14" s="336">
        <f t="shared" si="9"/>
        <v>0</v>
      </c>
      <c r="AL14" s="336">
        <f t="shared" si="10"/>
        <v>2000</v>
      </c>
      <c r="AM14" s="336">
        <f t="shared" si="11"/>
        <v>0</v>
      </c>
      <c r="AN14" s="336">
        <f t="shared" si="12"/>
        <v>0</v>
      </c>
      <c r="AO14" s="336">
        <f t="shared" si="13"/>
        <v>0</v>
      </c>
      <c r="AP14" s="336">
        <f t="shared" si="14"/>
        <v>0</v>
      </c>
      <c r="AQ14" s="336">
        <f t="shared" si="15"/>
        <v>0</v>
      </c>
      <c r="AR14" s="336">
        <f t="shared" si="16"/>
        <v>0</v>
      </c>
      <c r="AS14" s="336">
        <f t="shared" si="17"/>
        <v>0</v>
      </c>
      <c r="AT14" s="336">
        <f t="shared" si="18"/>
        <v>0</v>
      </c>
      <c r="AU14" s="336">
        <f t="shared" si="19"/>
        <v>2000</v>
      </c>
      <c r="AV14" s="111" t="s">
        <v>259</v>
      </c>
      <c r="AW14" s="141" t="s">
        <v>260</v>
      </c>
      <c r="AX14" s="288">
        <v>0.58499999999999996</v>
      </c>
      <c r="AY14" s="3">
        <f>AX14*L14*M14/1000</f>
        <v>0.59787000000000001</v>
      </c>
      <c r="AZ14" s="142">
        <f>IF(AND(J14=BY6,BL14&gt;0,BL14&lt;=1000),1,0)</f>
        <v>0</v>
      </c>
      <c r="BA14" s="113">
        <v>0</v>
      </c>
      <c r="BB14" s="143">
        <f>IF(AND(J14=BY5,BO14&gt;0,BO14&lt;=1800),1,0)</f>
        <v>0</v>
      </c>
      <c r="BC14" s="142">
        <f>IF(AND(J14=BY6,BL14&gt;1000,BL14&lt;=2000),1,0)</f>
        <v>1</v>
      </c>
      <c r="BD14" s="113">
        <v>0</v>
      </c>
      <c r="BE14" s="143">
        <f>IF(AND(J14=BY5,BO14&gt;1800,BO14&lt;=2700),1,0)</f>
        <v>0</v>
      </c>
      <c r="BF14" s="142">
        <f>IF(AND(J14=BY6,BL14&gt;2000,BL14&lt;=3000),1,0)</f>
        <v>0</v>
      </c>
      <c r="BG14" s="143">
        <f>IF(AND(J14=BY5,BO14&gt;2700,BO14&lt;=3600),1,0)</f>
        <v>0</v>
      </c>
      <c r="BH14" s="113">
        <v>0</v>
      </c>
      <c r="BI14" s="142">
        <f>IF(AND(J14=BY6,BL14&gt;3000,BL14&lt;=4000),1,0)</f>
        <v>0</v>
      </c>
      <c r="BJ14" s="142">
        <f>IF(AND(J14=BY6,BL14&gt;4000,BL14&lt;=BC5),BM14+1,BM14)</f>
        <v>0</v>
      </c>
      <c r="BK14" s="143">
        <f>IF(AND(J14=BY5,BO14&gt;3600,BO14&lt;=BC7),BP14+1,BP14)</f>
        <v>0</v>
      </c>
      <c r="BL14" s="139">
        <f>IF(E5&lt;&gt;0,N14-INT(BC5/L14)*L14*BM14,0)</f>
        <v>1022</v>
      </c>
      <c r="BM14" s="111">
        <f>IF(AND(E6=BY6,E5&lt;&gt;0),INT(M14/INT(BC5/L14)),0)</f>
        <v>0</v>
      </c>
      <c r="BN14" s="111"/>
      <c r="BO14" s="111">
        <f>IF(E5&lt;&gt;0,N14-INT(BC7/L14)*L14*BP14,0)</f>
        <v>1022</v>
      </c>
      <c r="BP14" s="111">
        <f>IF(AND(E6=BY5,E5&lt;&gt;0),INT(M14/INT(BC7/L14)),0)</f>
        <v>0</v>
      </c>
      <c r="BQ14" s="111"/>
      <c r="BR14" s="111"/>
      <c r="BS14" s="3"/>
      <c r="BT14" s="3">
        <f t="array" ref="BT14">INDEX(Цены!J:J,MATCH(J14&amp;$E$7,Цены!C:C&amp;Цены!G:G,0))</f>
        <v>3828.23</v>
      </c>
      <c r="BV14" s="5" t="s">
        <v>11</v>
      </c>
    </row>
    <row r="15" spans="2:83" ht="25.05" customHeight="1" thickBot="1" x14ac:dyDescent="0.4">
      <c r="B15" s="48"/>
      <c r="C15" s="49"/>
      <c r="D15" s="49"/>
      <c r="E15" s="49"/>
      <c r="F15" s="49"/>
      <c r="G15" s="49"/>
      <c r="H15" s="50"/>
      <c r="J15" s="18" t="s">
        <v>17</v>
      </c>
      <c r="K15" s="181" t="s">
        <v>199</v>
      </c>
      <c r="L15" s="101">
        <f>E12</f>
        <v>450</v>
      </c>
      <c r="M15" s="102">
        <f>E9</f>
        <v>1</v>
      </c>
      <c r="N15" s="98">
        <f>L15*M15</f>
        <v>450</v>
      </c>
      <c r="O15" s="269">
        <f>CEILING((L15*M15)/5400,1)</f>
        <v>1</v>
      </c>
      <c r="P15" s="213"/>
      <c r="Q15" s="213"/>
      <c r="R15" s="225">
        <f t="shared" si="0"/>
        <v>1331.09</v>
      </c>
      <c r="S15" s="199"/>
      <c r="T15" s="322" t="str">
        <f>J15</f>
        <v>ручка-рейлинг</v>
      </c>
      <c r="U15" s="99">
        <f t="shared" si="20"/>
        <v>0</v>
      </c>
      <c r="V15" s="99">
        <f t="shared" si="5"/>
        <v>0</v>
      </c>
      <c r="W15" s="99">
        <f t="shared" si="5"/>
        <v>0</v>
      </c>
      <c r="X15" s="99">
        <f t="shared" si="5"/>
        <v>0</v>
      </c>
      <c r="Y15" s="99">
        <f t="shared" si="5"/>
        <v>0</v>
      </c>
      <c r="Z15" s="99">
        <f t="shared" si="5"/>
        <v>1</v>
      </c>
      <c r="AA15" s="99">
        <f t="shared" si="5"/>
        <v>0</v>
      </c>
      <c r="AB15" s="99">
        <f t="shared" si="5"/>
        <v>0</v>
      </c>
      <c r="AC15" s="99">
        <f t="shared" si="5"/>
        <v>0</v>
      </c>
      <c r="AD15" s="99">
        <f t="shared" si="5"/>
        <v>0</v>
      </c>
      <c r="AE15" s="99">
        <f t="shared" si="5"/>
        <v>0</v>
      </c>
      <c r="AF15" s="99">
        <f t="shared" si="5"/>
        <v>0</v>
      </c>
      <c r="AG15" s="98">
        <f t="shared" si="6"/>
        <v>2700</v>
      </c>
      <c r="AH15" s="285">
        <f>(Z15*0.5+AF15)*BT15</f>
        <v>665.54499999999996</v>
      </c>
      <c r="AI15" s="336">
        <f t="shared" si="7"/>
        <v>0</v>
      </c>
      <c r="AJ15" s="336">
        <f t="shared" si="8"/>
        <v>0</v>
      </c>
      <c r="AK15" s="336">
        <f t="shared" si="9"/>
        <v>0</v>
      </c>
      <c r="AL15" s="336">
        <f t="shared" si="10"/>
        <v>0</v>
      </c>
      <c r="AM15" s="336">
        <f t="shared" si="11"/>
        <v>0</v>
      </c>
      <c r="AN15" s="336">
        <f t="shared" si="12"/>
        <v>2700</v>
      </c>
      <c r="AO15" s="336">
        <f t="shared" si="13"/>
        <v>0</v>
      </c>
      <c r="AP15" s="336">
        <f t="shared" si="14"/>
        <v>0</v>
      </c>
      <c r="AQ15" s="336">
        <f t="shared" si="15"/>
        <v>0</v>
      </c>
      <c r="AR15" s="336">
        <f t="shared" si="16"/>
        <v>0</v>
      </c>
      <c r="AS15" s="336">
        <f t="shared" si="17"/>
        <v>0</v>
      </c>
      <c r="AT15" s="336">
        <f t="shared" si="18"/>
        <v>0</v>
      </c>
      <c r="AU15" s="336">
        <f t="shared" si="19"/>
        <v>2700</v>
      </c>
      <c r="AV15" s="200">
        <f>(U14*0.2+V14*0.25+X14*0.4+Y14*0.5+AA14*0.6+AC14*0.75+AD14*0.8+AE14)*BT14</f>
        <v>1531.2920000000001</v>
      </c>
      <c r="AW15" s="200">
        <f>(W14*0.34+Z14*0.5+AB14*0.67+AF14)*BT14</f>
        <v>0</v>
      </c>
      <c r="AX15" s="289">
        <v>0.33600000000000002</v>
      </c>
      <c r="AY15" s="3">
        <f>AX15*L14*M14/1000</f>
        <v>0.34339199999999998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11">
        <f>IF(AND(BO15&gt;0,BO15&lt;=2700),1,0)</f>
        <v>1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11">
        <f>IF(AND(BO15&gt;2700,BO15&lt;=BC7),BP15+1,BP15)</f>
        <v>0</v>
      </c>
      <c r="BL15" s="139"/>
      <c r="BM15" s="111"/>
      <c r="BN15" s="139"/>
      <c r="BO15" s="139">
        <f>$N$15-$BC$7*BM15</f>
        <v>450</v>
      </c>
      <c r="BP15" s="139">
        <f>INT($N$15/$BC$7)</f>
        <v>0</v>
      </c>
      <c r="BQ15" s="139"/>
      <c r="BR15" s="139"/>
      <c r="BT15" s="3">
        <f t="array" ref="BT15">IFERROR(INDEX(Цены!J:J,MATCH(J15&amp;$E$7,Цены!C:C&amp;Цены!G:G,0)),Цены!J38)</f>
        <v>1331.09</v>
      </c>
      <c r="BV15" s="5" t="s">
        <v>12</v>
      </c>
    </row>
    <row r="16" spans="2:83" ht="25.05" customHeight="1" thickBot="1" x14ac:dyDescent="0.4">
      <c r="B16" s="51" t="s">
        <v>107</v>
      </c>
      <c r="C16" s="52">
        <f>E5+1</f>
        <v>2</v>
      </c>
      <c r="D16" s="53"/>
      <c r="E16" s="82"/>
      <c r="F16" s="82"/>
      <c r="G16" s="82"/>
      <c r="H16" s="54"/>
      <c r="I16" s="66"/>
      <c r="J16" s="208"/>
      <c r="K16" s="209"/>
      <c r="L16" s="209"/>
      <c r="M16" s="209"/>
      <c r="N16" s="209"/>
      <c r="O16" s="210"/>
      <c r="P16" s="209"/>
      <c r="Q16" s="209"/>
      <c r="R16" s="106">
        <f>SUM(R9:R15)</f>
        <v>26957.45</v>
      </c>
      <c r="S16" s="217"/>
      <c r="T16" s="253"/>
      <c r="U16" s="422" t="s">
        <v>103</v>
      </c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3"/>
      <c r="AH16" s="106">
        <f>SUM(AH9:AH15)</f>
        <v>18833.596999999998</v>
      </c>
      <c r="AI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46"/>
      <c r="AW16" s="346"/>
      <c r="AX16" s="292">
        <v>0.16900000000000001</v>
      </c>
      <c r="AY16" s="3">
        <f>AX16*L15*M15/1000</f>
        <v>7.6050000000000006E-2</v>
      </c>
      <c r="BL16" s="471" t="s">
        <v>519</v>
      </c>
      <c r="BM16" s="471"/>
      <c r="BN16" s="3"/>
      <c r="BO16" s="471" t="s">
        <v>443</v>
      </c>
      <c r="BP16" s="471"/>
    </row>
    <row r="17" spans="2:83" ht="25.05" customHeight="1" thickBot="1" x14ac:dyDescent="0.35">
      <c r="B17" s="56"/>
      <c r="C17" s="57"/>
      <c r="D17" s="57"/>
      <c r="E17" s="57"/>
      <c r="F17" s="57"/>
      <c r="G17" s="57"/>
      <c r="H17" s="58"/>
      <c r="I17" s="66"/>
      <c r="J17" s="9"/>
      <c r="O17" s="8"/>
      <c r="S17" s="219"/>
      <c r="AY17" s="1">
        <f>IF(E6=BY5,AY9+AY13+AY15+AY16,AY9+AY13+AY14+AY16)</f>
        <v>8.6062560000000001</v>
      </c>
      <c r="AZ17" s="324"/>
      <c r="BA17" s="1" t="s">
        <v>515</v>
      </c>
      <c r="CC17" s="1" t="b">
        <v>1</v>
      </c>
    </row>
    <row r="18" spans="2:83" ht="25.05" customHeight="1" thickBot="1" x14ac:dyDescent="0.35">
      <c r="B18" s="56"/>
      <c r="C18" s="57"/>
      <c r="D18" s="57"/>
      <c r="E18" s="57"/>
      <c r="F18" s="57"/>
      <c r="G18" s="57"/>
      <c r="H18" s="58"/>
      <c r="I18" s="66"/>
      <c r="J18" s="9"/>
      <c r="O18" s="8"/>
      <c r="AC18" s="502" t="s">
        <v>102</v>
      </c>
      <c r="AD18" s="502"/>
      <c r="AE18" s="502"/>
      <c r="AF18" s="502"/>
      <c r="AG18" s="502"/>
      <c r="AH18" s="207">
        <f>AH16+H25+R39</f>
        <v>24281.446999999996</v>
      </c>
      <c r="AX18" s="3"/>
      <c r="AY18" s="229">
        <f>AY17/E9</f>
        <v>8.6062560000000001</v>
      </c>
      <c r="AZ18" s="325"/>
      <c r="BA18" s="3" t="s">
        <v>516</v>
      </c>
      <c r="BV18" s="1" t="s">
        <v>85</v>
      </c>
    </row>
    <row r="19" spans="2:83" ht="25.05" customHeight="1" x14ac:dyDescent="0.3">
      <c r="B19" s="59" t="s">
        <v>108</v>
      </c>
      <c r="C19" s="262" t="s">
        <v>109</v>
      </c>
      <c r="D19" s="60" t="s">
        <v>78</v>
      </c>
      <c r="E19" s="262" t="s">
        <v>110</v>
      </c>
      <c r="F19" s="262" t="s">
        <v>111</v>
      </c>
      <c r="G19" s="262" t="s">
        <v>127</v>
      </c>
      <c r="H19" s="61" t="s">
        <v>128</v>
      </c>
      <c r="J19" s="9"/>
      <c r="O19" s="8"/>
      <c r="BE19" s="186" t="s">
        <v>424</v>
      </c>
      <c r="BV19" s="1" t="s">
        <v>86</v>
      </c>
      <c r="CC19" s="1" t="b">
        <v>1</v>
      </c>
    </row>
    <row r="20" spans="2:83" ht="25.05" customHeight="1" thickBot="1" x14ac:dyDescent="0.35">
      <c r="B20" s="62" t="s">
        <v>112</v>
      </c>
      <c r="C20" s="11" t="s">
        <v>12</v>
      </c>
      <c r="D20" s="80">
        <v>0</v>
      </c>
      <c r="E20" s="12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63">
        <f>IF(C20=$BV$15,$K$5-63,IF(C20=$BV$14,$K$5-62,$K$5-60))</f>
        <v>526</v>
      </c>
      <c r="G20" s="64">
        <f>$E$9*2</f>
        <v>2</v>
      </c>
      <c r="H20" s="65">
        <f>E20*F20*D20*G20/1000000</f>
        <v>0</v>
      </c>
      <c r="J20" s="496" t="s">
        <v>180</v>
      </c>
      <c r="K20" s="446"/>
      <c r="L20" s="446"/>
      <c r="M20" s="259"/>
      <c r="O20" s="8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BX20" s="239">
        <f>IF(E20&lt;&gt;0,1,0)</f>
        <v>1</v>
      </c>
    </row>
    <row r="21" spans="2:83" ht="25.05" customHeight="1" x14ac:dyDescent="0.3">
      <c r="B21" s="62" t="s">
        <v>113</v>
      </c>
      <c r="C21" s="11" t="s">
        <v>10</v>
      </c>
      <c r="D21" s="80">
        <v>0</v>
      </c>
      <c r="E21" s="13">
        <v>0</v>
      </c>
      <c r="F21" s="63">
        <f>IF(C21=$BV$15,$K$5-63,IF(C21=$BV$14,$K$5-62,$K$5-60))</f>
        <v>529</v>
      </c>
      <c r="G21" s="64">
        <f>IF(E21&lt;&gt;0,$E$9*2,0)</f>
        <v>0</v>
      </c>
      <c r="H21" s="65">
        <f t="shared" ref="H21:H24" si="21">E21*F21*D21*G21/1000000</f>
        <v>0</v>
      </c>
      <c r="J21" s="442" t="s">
        <v>0</v>
      </c>
      <c r="K21" s="443"/>
      <c r="L21" s="443"/>
      <c r="M21" s="443"/>
      <c r="N21" s="309" t="s">
        <v>1</v>
      </c>
      <c r="O21" s="184" t="s">
        <v>8</v>
      </c>
      <c r="P21" s="110"/>
      <c r="Q21" s="110"/>
      <c r="R21" s="205" t="s">
        <v>24</v>
      </c>
      <c r="S21" s="110"/>
      <c r="T21" s="90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9"/>
      <c r="AH21" s="241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Z21" s="81">
        <v>1000</v>
      </c>
      <c r="BA21" s="81">
        <v>1250</v>
      </c>
      <c r="BB21" s="81">
        <v>1800</v>
      </c>
      <c r="BC21" s="81">
        <v>2000</v>
      </c>
      <c r="BD21" s="81">
        <v>2500</v>
      </c>
      <c r="BE21" s="81">
        <v>2700</v>
      </c>
      <c r="BF21" s="81">
        <v>3000</v>
      </c>
      <c r="BG21" s="81">
        <v>3600</v>
      </c>
      <c r="BH21" s="81">
        <v>3750</v>
      </c>
      <c r="BI21" s="81">
        <v>4000</v>
      </c>
      <c r="BJ21" s="81">
        <v>5000</v>
      </c>
      <c r="BK21" s="112">
        <v>5400</v>
      </c>
      <c r="BL21" s="140"/>
      <c r="BM21" s="139"/>
      <c r="BN21" s="139"/>
      <c r="BO21" s="139"/>
      <c r="BP21" s="139"/>
      <c r="BQ21" s="139"/>
      <c r="BR21" s="139"/>
      <c r="BX21" s="239">
        <f>IF(E21&lt;&gt;0,1,0)</f>
        <v>0</v>
      </c>
      <c r="CE21" s="1" t="s">
        <v>418</v>
      </c>
    </row>
    <row r="22" spans="2:83" ht="25.05" customHeight="1" x14ac:dyDescent="0.3">
      <c r="B22" s="62" t="s">
        <v>114</v>
      </c>
      <c r="C22" s="11" t="s">
        <v>10</v>
      </c>
      <c r="D22" s="80">
        <v>0</v>
      </c>
      <c r="E22" s="13">
        <v>0</v>
      </c>
      <c r="F22" s="63">
        <f>IF(C22=$BV$15,$K$5-63,IF(C22=$BV$14,$K$5-62,$K$5-60))</f>
        <v>529</v>
      </c>
      <c r="G22" s="64">
        <f>IF(E22&lt;&gt;0,$E$9*2,0)</f>
        <v>0</v>
      </c>
      <c r="H22" s="65">
        <f t="shared" si="21"/>
        <v>0</v>
      </c>
      <c r="J22" s="412" t="s">
        <v>66</v>
      </c>
      <c r="K22" s="413"/>
      <c r="L22" s="413"/>
      <c r="M22" s="413"/>
      <c r="N22" s="182" t="s">
        <v>208</v>
      </c>
      <c r="O22" s="178">
        <f>E9</f>
        <v>1</v>
      </c>
      <c r="P22" s="195"/>
      <c r="Q22" s="195"/>
      <c r="R22" s="206">
        <f>O22*Цены!J152</f>
        <v>748.1</v>
      </c>
      <c r="S22" s="187"/>
      <c r="T22" s="244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193"/>
      <c r="AG22" s="217"/>
      <c r="AH22" s="217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Z22" s="111">
        <v>0</v>
      </c>
      <c r="BA22" s="111">
        <v>0</v>
      </c>
      <c r="BB22" s="111">
        <v>0</v>
      </c>
      <c r="BC22" s="111">
        <v>0</v>
      </c>
      <c r="BD22" s="111">
        <v>0</v>
      </c>
      <c r="BE22" s="111">
        <v>0</v>
      </c>
      <c r="BF22" s="111">
        <v>0</v>
      </c>
      <c r="BG22" s="111">
        <v>0</v>
      </c>
      <c r="BH22" s="111">
        <v>0</v>
      </c>
      <c r="BI22" s="111">
        <v>0</v>
      </c>
      <c r="BJ22" s="111">
        <v>0</v>
      </c>
      <c r="BK22" s="251">
        <f>BK9</f>
        <v>2</v>
      </c>
      <c r="BL22" s="111"/>
      <c r="BM22" s="111"/>
      <c r="BN22" s="111"/>
      <c r="BO22" s="111"/>
      <c r="BP22" s="111"/>
      <c r="BQ22" s="111"/>
      <c r="BR22" s="111"/>
      <c r="BS22" s="3"/>
      <c r="BT22" s="3"/>
      <c r="BX22" s="239">
        <f>IF(E22&lt;&gt;0,1,0)</f>
        <v>0</v>
      </c>
      <c r="CE22" s="1" t="s">
        <v>423</v>
      </c>
    </row>
    <row r="23" spans="2:83" ht="25.05" customHeight="1" x14ac:dyDescent="0.3">
      <c r="B23" s="62" t="s">
        <v>115</v>
      </c>
      <c r="C23" s="11" t="s">
        <v>12</v>
      </c>
      <c r="D23" s="80">
        <v>0</v>
      </c>
      <c r="E23" s="13">
        <v>0</v>
      </c>
      <c r="F23" s="63">
        <f>IF(C23=$BV$15,$K$5-63,IF(C23=$BV$14,$K$5-62,$K$5-60))</f>
        <v>526</v>
      </c>
      <c r="G23" s="64">
        <f>IF(E23&lt;&gt;0,$E$9*2,0)</f>
        <v>0</v>
      </c>
      <c r="H23" s="65">
        <f t="shared" si="21"/>
        <v>0</v>
      </c>
      <c r="J23" s="412" t="s">
        <v>58</v>
      </c>
      <c r="K23" s="413"/>
      <c r="L23" s="413"/>
      <c r="M23" s="413"/>
      <c r="N23" s="182" t="s">
        <v>209</v>
      </c>
      <c r="O23" s="178">
        <f>E9</f>
        <v>1</v>
      </c>
      <c r="P23" s="195"/>
      <c r="Q23" s="195"/>
      <c r="R23" s="206">
        <f>O23*Цены!J138</f>
        <v>716</v>
      </c>
      <c r="S23" s="187"/>
      <c r="T23" s="244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328"/>
      <c r="AH23" s="32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Z23" s="113">
        <v>0</v>
      </c>
      <c r="BA23" s="113">
        <v>0</v>
      </c>
      <c r="BB23" s="113">
        <v>0</v>
      </c>
      <c r="BC23" s="113">
        <v>0</v>
      </c>
      <c r="BD23" s="111">
        <f>IF(AND(BL23&gt;0,BL23&lt;=2500),1,0)</f>
        <v>1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1">
        <f>IF(AND(BL23&gt;2500,BL23&lt;=BC5),BM23+1,BM23)</f>
        <v>0</v>
      </c>
      <c r="BK23" s="113">
        <v>0</v>
      </c>
      <c r="BL23" s="139">
        <f>BL10</f>
        <v>1198</v>
      </c>
      <c r="BM23" s="139">
        <f>BM10</f>
        <v>0</v>
      </c>
      <c r="BN23" s="111"/>
      <c r="BO23" s="111"/>
      <c r="BP23" s="111"/>
      <c r="BQ23" s="111"/>
      <c r="BR23" s="111"/>
      <c r="BS23" s="3"/>
      <c r="BT23" s="3"/>
      <c r="BX23" s="239">
        <f>IF(E23&lt;&gt;0,1,0)</f>
        <v>0</v>
      </c>
      <c r="CE23" s="1" t="s">
        <v>420</v>
      </c>
    </row>
    <row r="24" spans="2:83" ht="25.05" customHeight="1" thickBot="1" x14ac:dyDescent="0.35">
      <c r="B24" s="68" t="s">
        <v>116</v>
      </c>
      <c r="C24" s="11" t="s">
        <v>12</v>
      </c>
      <c r="D24" s="80">
        <v>0</v>
      </c>
      <c r="E24" s="13">
        <v>0</v>
      </c>
      <c r="F24" s="63">
        <f>IF(C24=$BV$15,$K$5-63,IF(C24=$BV$14,$K$5-62,$K$5-60))</f>
        <v>526</v>
      </c>
      <c r="G24" s="64">
        <f>IF(E24&lt;&gt;0,$E$9*2,0)</f>
        <v>0</v>
      </c>
      <c r="H24" s="65">
        <f t="shared" si="21"/>
        <v>0</v>
      </c>
      <c r="J24" s="412" t="s">
        <v>88</v>
      </c>
      <c r="K24" s="413"/>
      <c r="L24" s="413"/>
      <c r="M24" s="413"/>
      <c r="N24" s="182" t="s">
        <v>210</v>
      </c>
      <c r="O24" s="178">
        <f>IF(AND(E9=BV9,E10=BV19),1,IF(E9=BV10,1,0))</f>
        <v>0</v>
      </c>
      <c r="P24" s="195"/>
      <c r="Q24" s="195"/>
      <c r="R24" s="206">
        <f>O24*Цены!J139</f>
        <v>0</v>
      </c>
      <c r="S24" s="187"/>
      <c r="T24" s="244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328"/>
      <c r="AH24" s="217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Z24" s="113">
        <v>0</v>
      </c>
      <c r="BA24" s="113">
        <v>0</v>
      </c>
      <c r="BB24" s="113">
        <v>0</v>
      </c>
      <c r="BC24" s="113">
        <v>0</v>
      </c>
      <c r="BD24" s="113">
        <v>0</v>
      </c>
      <c r="BE24" s="111">
        <f>IF(AND(BL24&gt;0,BL24&lt;=2700),1,0)</f>
        <v>0</v>
      </c>
      <c r="BF24" s="113">
        <v>0</v>
      </c>
      <c r="BG24" s="113">
        <v>0</v>
      </c>
      <c r="BH24" s="113">
        <v>0</v>
      </c>
      <c r="BI24" s="113">
        <v>0</v>
      </c>
      <c r="BJ24" s="113">
        <v>0</v>
      </c>
      <c r="BK24" s="111">
        <f>IF(AND(BL24&gt;2700,BL24&lt;=BC7),BM24+1,BM24)</f>
        <v>0</v>
      </c>
      <c r="BL24" s="139">
        <f t="shared" ref="BL24:BM26" si="22">BL11</f>
        <v>0</v>
      </c>
      <c r="BM24" s="139">
        <f t="shared" si="22"/>
        <v>0</v>
      </c>
      <c r="BN24" s="111"/>
      <c r="BO24" s="111"/>
      <c r="BP24" s="111"/>
      <c r="BQ24" s="111"/>
      <c r="BR24" s="111"/>
      <c r="BS24" s="3"/>
      <c r="BT24" s="3"/>
      <c r="BX24" s="239">
        <f>IF(E24&lt;&gt;0,1,0)</f>
        <v>0</v>
      </c>
      <c r="CE24" s="1" t="s">
        <v>421</v>
      </c>
    </row>
    <row r="25" spans="2:83" ht="25.05" customHeight="1" thickBot="1" x14ac:dyDescent="0.35">
      <c r="B25" s="56"/>
      <c r="C25" s="41"/>
      <c r="D25" s="57"/>
      <c r="E25" s="452" t="s">
        <v>79</v>
      </c>
      <c r="F25" s="452"/>
      <c r="G25" s="453"/>
      <c r="H25" s="258">
        <f>SUM(H20:H24)</f>
        <v>0</v>
      </c>
      <c r="J25" s="412" t="s">
        <v>87</v>
      </c>
      <c r="K25" s="413"/>
      <c r="L25" s="413"/>
      <c r="M25" s="413"/>
      <c r="N25" s="182" t="s">
        <v>211</v>
      </c>
      <c r="O25" s="178">
        <f>IF(AND(E9=BV9,E10=BV18),1,IF(E9=BV10,1,0))</f>
        <v>1</v>
      </c>
      <c r="P25" s="195"/>
      <c r="Q25" s="195"/>
      <c r="R25" s="206">
        <f>O25*Цены!J139</f>
        <v>487.37</v>
      </c>
      <c r="S25" s="187"/>
      <c r="T25" s="244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328"/>
      <c r="AH25" s="32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Z25" s="113">
        <v>0</v>
      </c>
      <c r="BA25" s="113">
        <v>0</v>
      </c>
      <c r="BB25" s="113">
        <v>0</v>
      </c>
      <c r="BC25" s="113">
        <v>0</v>
      </c>
      <c r="BD25" s="111">
        <f>IF(AND(BL25&gt;0,BL25&lt;=2500),1,0)</f>
        <v>1</v>
      </c>
      <c r="BE25" s="113">
        <v>0</v>
      </c>
      <c r="BF25" s="113">
        <v>0</v>
      </c>
      <c r="BG25" s="113">
        <v>0</v>
      </c>
      <c r="BH25" s="113">
        <v>0</v>
      </c>
      <c r="BI25" s="113">
        <v>0</v>
      </c>
      <c r="BJ25" s="111">
        <f>IF(AND(BL25&gt;2500,BL25&lt;=BC6),BM25+1,BM25)</f>
        <v>0</v>
      </c>
      <c r="BK25" s="113">
        <v>0</v>
      </c>
      <c r="BL25" s="139">
        <f t="shared" si="22"/>
        <v>1198</v>
      </c>
      <c r="BM25" s="139">
        <f t="shared" si="22"/>
        <v>0</v>
      </c>
      <c r="BN25" s="111"/>
      <c r="BO25" s="111"/>
      <c r="BP25" s="111"/>
      <c r="BQ25" s="111"/>
      <c r="BR25" s="111"/>
      <c r="BS25" s="3"/>
      <c r="BT25" s="3"/>
      <c r="CE25" s="1" t="s">
        <v>422</v>
      </c>
    </row>
    <row r="26" spans="2:83" ht="25.05" customHeight="1" x14ac:dyDescent="0.3">
      <c r="B26" s="56"/>
      <c r="C26" s="493" t="str">
        <f>IF((SUM(BX20:BX24)/C16)&lt;&gt;1,BV39,BV40)</f>
        <v>Неверно внесены высоты вставок</v>
      </c>
      <c r="D26" s="493"/>
      <c r="E26" s="82">
        <f>IF(C26=BV40,1,0)</f>
        <v>0</v>
      </c>
      <c r="F26" s="82"/>
      <c r="G26" s="82"/>
      <c r="H26" s="58"/>
      <c r="J26" s="412" t="s">
        <v>60</v>
      </c>
      <c r="K26" s="413"/>
      <c r="L26" s="413"/>
      <c r="M26" s="413"/>
      <c r="N26" s="182" t="s">
        <v>212</v>
      </c>
      <c r="O26" s="178">
        <f>E9*2</f>
        <v>2</v>
      </c>
      <c r="P26" s="195"/>
      <c r="Q26" s="195"/>
      <c r="R26" s="206">
        <f>O26*Цены!J145</f>
        <v>1131.2</v>
      </c>
      <c r="S26" s="187"/>
      <c r="T26" s="244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328"/>
      <c r="AH26" s="32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Z26" s="113">
        <v>0</v>
      </c>
      <c r="BA26" s="111">
        <f>IF(AND(BL26&gt;0,BL26&lt;=1250),1,0)</f>
        <v>0</v>
      </c>
      <c r="BB26" s="113">
        <v>0</v>
      </c>
      <c r="BC26" s="113">
        <v>0</v>
      </c>
      <c r="BD26" s="111">
        <f>IF(AND(BL26&gt;1250,BL26&lt;=2500),1,0)</f>
        <v>1</v>
      </c>
      <c r="BE26" s="113">
        <v>0</v>
      </c>
      <c r="BF26" s="113">
        <v>0</v>
      </c>
      <c r="BG26" s="113">
        <v>0</v>
      </c>
      <c r="BH26" s="111">
        <f>IF(AND(BL26&gt;2500,BL26&lt;=3750),1,0)</f>
        <v>0</v>
      </c>
      <c r="BI26" s="113">
        <v>0</v>
      </c>
      <c r="BJ26" s="111">
        <f>IF(AND(BL26&gt;3750,BL26&lt;=BC5),BM26+1,BM26)</f>
        <v>0</v>
      </c>
      <c r="BK26" s="113">
        <v>0</v>
      </c>
      <c r="BL26" s="139">
        <f t="shared" si="22"/>
        <v>2044</v>
      </c>
      <c r="BM26" s="139">
        <f t="shared" si="22"/>
        <v>0</v>
      </c>
      <c r="BN26" s="111"/>
      <c r="BO26" s="111"/>
      <c r="BP26" s="111"/>
      <c r="BQ26" s="111"/>
      <c r="BR26" s="141"/>
      <c r="BS26" s="121"/>
      <c r="BT26" s="121"/>
      <c r="CE26" s="1" t="s">
        <v>419</v>
      </c>
    </row>
    <row r="27" spans="2:83" ht="25.05" customHeight="1" x14ac:dyDescent="0.3">
      <c r="B27" s="56"/>
      <c r="C27" s="57"/>
      <c r="D27" s="57"/>
      <c r="E27" s="57"/>
      <c r="F27" s="57"/>
      <c r="G27" s="57"/>
      <c r="H27" s="58"/>
      <c r="J27" s="412" t="s">
        <v>71</v>
      </c>
      <c r="K27" s="413"/>
      <c r="L27" s="413"/>
      <c r="M27" s="413"/>
      <c r="N27" s="182" t="s">
        <v>201</v>
      </c>
      <c r="O27" s="224">
        <f>E9</f>
        <v>1</v>
      </c>
      <c r="P27" s="214"/>
      <c r="Q27" s="214"/>
      <c r="R27" s="227">
        <f>O27*Цены!J158</f>
        <v>235.89</v>
      </c>
      <c r="S27" s="216"/>
      <c r="T27" s="244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328"/>
      <c r="AH27" s="32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Z27" s="113">
        <v>0</v>
      </c>
      <c r="BA27" s="142">
        <f>IF(AND(J14=BY6,BL27&gt;0,BL27&lt;=1250),1,0)</f>
        <v>1</v>
      </c>
      <c r="BB27" s="143">
        <f>IF(AND(J14=BY5,BO27&gt;0,BO27&lt;=1800),1,0)</f>
        <v>0</v>
      </c>
      <c r="BC27" s="113">
        <v>0</v>
      </c>
      <c r="BD27" s="142">
        <f>IF(AND(J14=BY6,BL27&gt;1250,BL27&lt;=2500),1,0)</f>
        <v>0</v>
      </c>
      <c r="BE27" s="143">
        <f>IF(AND(J14=BY5,BO27&gt;1800,BO27&lt;=2700),1,0)</f>
        <v>0</v>
      </c>
      <c r="BF27" s="113">
        <v>0</v>
      </c>
      <c r="BG27" s="143">
        <f>IF(AND(J14=BY5,BO27&gt;2700,BO27&lt;=3600),1,0)</f>
        <v>0</v>
      </c>
      <c r="BH27" s="142">
        <f>IF(AND(J14=BY6,BL27&gt;2500,BL27&lt;=3750),1,0)</f>
        <v>0</v>
      </c>
      <c r="BI27" s="113">
        <v>0</v>
      </c>
      <c r="BJ27" s="142">
        <f>IF(AND(J14=BY6,,BL27&gt;3750,BL27&lt;=BC5),BM27+1,BM27)</f>
        <v>0</v>
      </c>
      <c r="BK27" s="143">
        <f>IF(AND(J14=BY5,BO27&gt;3600,BO27&lt;=BC7),BP27+1,BP27)</f>
        <v>0</v>
      </c>
      <c r="BL27" s="139">
        <f>BL14</f>
        <v>1022</v>
      </c>
      <c r="BM27" s="139">
        <f>BM14</f>
        <v>0</v>
      </c>
      <c r="BN27" s="111"/>
      <c r="BO27" s="111">
        <f>BO14</f>
        <v>1022</v>
      </c>
      <c r="BP27" s="111">
        <f>BP14</f>
        <v>0</v>
      </c>
      <c r="BQ27" s="111"/>
      <c r="BR27" s="111"/>
      <c r="BS27" s="3"/>
      <c r="BT27" s="3"/>
      <c r="CE27" s="1" t="s">
        <v>520</v>
      </c>
    </row>
    <row r="28" spans="2:83" ht="25.05" customHeight="1" x14ac:dyDescent="0.3">
      <c r="B28" s="56"/>
      <c r="C28" s="57"/>
      <c r="D28" s="57"/>
      <c r="E28" s="71"/>
      <c r="F28" s="71"/>
      <c r="H28" s="58"/>
      <c r="J28" s="412" t="s">
        <v>40</v>
      </c>
      <c r="K28" s="413"/>
      <c r="L28" s="413"/>
      <c r="M28" s="413"/>
      <c r="N28" s="182" t="s">
        <v>204</v>
      </c>
      <c r="O28" s="177">
        <f>IF(E12&lt;500,2*E9,E9*ROUNDDOWN(E12/500+1,0))</f>
        <v>2</v>
      </c>
      <c r="P28" s="194"/>
      <c r="Q28" s="194"/>
      <c r="R28" s="227">
        <f>O28*Цены!J102</f>
        <v>892.74</v>
      </c>
      <c r="S28" s="216"/>
      <c r="T28" s="244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328"/>
      <c r="AH28" s="32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11">
        <f>IF(AND(BO28&gt;0,BO28&lt;=2700),1,0)</f>
        <v>1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11">
        <f>IF(AND(BO28&gt;2700,BO28&lt;=BC7),BP28+1,BP28)</f>
        <v>0</v>
      </c>
      <c r="BL28" s="139"/>
      <c r="BM28" s="111"/>
      <c r="BN28" s="139"/>
      <c r="BO28" s="111">
        <f>BO15</f>
        <v>450</v>
      </c>
      <c r="BP28" s="111">
        <f>BP15</f>
        <v>0</v>
      </c>
      <c r="BQ28" s="139"/>
      <c r="BR28" s="139"/>
      <c r="CE28" s="1" t="s">
        <v>518</v>
      </c>
    </row>
    <row r="29" spans="2:83" ht="25.05" customHeight="1" x14ac:dyDescent="0.3">
      <c r="B29" s="56"/>
      <c r="C29" s="57"/>
      <c r="D29" s="57"/>
      <c r="E29" s="57"/>
      <c r="F29" s="57"/>
      <c r="H29" s="58"/>
      <c r="J29" s="412" t="s">
        <v>44</v>
      </c>
      <c r="K29" s="413"/>
      <c r="L29" s="413"/>
      <c r="M29" s="413"/>
      <c r="N29" s="182" t="s">
        <v>205</v>
      </c>
      <c r="O29" s="224">
        <f>E9</f>
        <v>1</v>
      </c>
      <c r="P29" s="214"/>
      <c r="Q29" s="214"/>
      <c r="R29" s="227">
        <f>O29*Цены!J106</f>
        <v>93.19</v>
      </c>
      <c r="S29" s="216"/>
      <c r="T29" s="245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219"/>
      <c r="AI29" s="346"/>
      <c r="AJ29" s="346"/>
      <c r="AK29" s="346"/>
      <c r="AL29" s="346"/>
      <c r="AM29" s="346"/>
      <c r="AN29" s="346"/>
      <c r="AO29" s="346"/>
      <c r="AP29" s="346"/>
      <c r="AQ29" s="346"/>
      <c r="AR29" s="346"/>
      <c r="AS29" s="346"/>
      <c r="AT29" s="346"/>
      <c r="AU29" s="346"/>
      <c r="AV29" s="346"/>
      <c r="AW29" s="346"/>
    </row>
    <row r="30" spans="2:83" ht="25.05" customHeight="1" x14ac:dyDescent="0.3">
      <c r="B30" s="56"/>
      <c r="C30" s="494" t="str">
        <f>IF(AND(SUM(BX20:BX24)/C16=1,E24=0,C16&lt;&gt;1),BV43,BV44)</f>
        <v xml:space="preserve"> </v>
      </c>
      <c r="D30" s="494"/>
      <c r="E30" s="71"/>
      <c r="F30" s="71"/>
      <c r="H30" s="58"/>
      <c r="J30" s="412" t="s">
        <v>222</v>
      </c>
      <c r="K30" s="413"/>
      <c r="L30" s="413"/>
      <c r="M30" s="413"/>
      <c r="N30" s="182" t="s">
        <v>192</v>
      </c>
      <c r="O30" s="177">
        <f>(M13+M14)*2-O31</f>
        <v>10</v>
      </c>
      <c r="P30" s="194"/>
      <c r="Q30" s="194"/>
      <c r="R30" s="227">
        <f>O30*Цены!J186</f>
        <v>104</v>
      </c>
      <c r="S30" s="216"/>
      <c r="AZ30" s="115"/>
      <c r="BA30" s="115"/>
    </row>
    <row r="31" spans="2:83" ht="25.05" customHeight="1" x14ac:dyDescent="0.3">
      <c r="B31" s="56"/>
      <c r="C31" s="57"/>
      <c r="D31" s="57"/>
      <c r="E31" s="57"/>
      <c r="F31" s="57"/>
      <c r="H31" s="58"/>
      <c r="J31" s="412" t="s">
        <v>223</v>
      </c>
      <c r="K31" s="413"/>
      <c r="L31" s="413"/>
      <c r="M31" s="413"/>
      <c r="N31" s="182" t="s">
        <v>213</v>
      </c>
      <c r="O31" s="269">
        <f>E9*2</f>
        <v>2</v>
      </c>
      <c r="P31" s="193"/>
      <c r="Q31" s="193"/>
      <c r="R31" s="226">
        <f>O31*Цены!J157</f>
        <v>16.66</v>
      </c>
      <c r="S31" s="217"/>
      <c r="T31" s="246"/>
      <c r="AZ31" s="115"/>
      <c r="BA31" s="115"/>
    </row>
    <row r="32" spans="2:83" ht="25.05" customHeight="1" x14ac:dyDescent="0.3">
      <c r="B32" s="56"/>
      <c r="C32" s="57"/>
      <c r="D32" s="57"/>
      <c r="E32" s="57"/>
      <c r="F32" s="57"/>
      <c r="H32" s="58"/>
      <c r="J32" s="412" t="s">
        <v>82</v>
      </c>
      <c r="K32" s="413"/>
      <c r="L32" s="413"/>
      <c r="M32" s="413"/>
      <c r="N32" s="182" t="s">
        <v>255</v>
      </c>
      <c r="O32" s="179">
        <f>ROUNDUP((IF(C20=BV14,(E20+F20)*2*G20,0)+IF(C21=BV14,(E21+F21)*2*G21,0)+IF(C22=BV14,(E22+F22)*2*G22,0)+IF(C23=BV14,(E23+F23)*2*G23,0)+IF(C24=BV14,(E24+F24)*2*G24,0))/1000,0)</f>
        <v>0</v>
      </c>
      <c r="P32" s="196"/>
      <c r="Q32" s="196"/>
      <c r="R32" s="227">
        <f>O32*Цены!J179</f>
        <v>0</v>
      </c>
      <c r="S32" s="216"/>
      <c r="T32" s="245"/>
      <c r="BE32" s="186" t="s">
        <v>517</v>
      </c>
    </row>
    <row r="33" spans="2:74" ht="25.05" customHeight="1" x14ac:dyDescent="0.35">
      <c r="B33" s="72"/>
      <c r="C33" s="73"/>
      <c r="D33" s="82"/>
      <c r="E33" s="82"/>
      <c r="F33" s="82"/>
      <c r="H33" s="8"/>
      <c r="J33" s="412" t="s">
        <v>84</v>
      </c>
      <c r="K33" s="413"/>
      <c r="L33" s="413"/>
      <c r="M33" s="413"/>
      <c r="N33" s="182" t="s">
        <v>193</v>
      </c>
      <c r="O33" s="179">
        <f>ROUNDUP((IF(C20=BV15,(E20+F20)*2*G20,0)+IF(C21=BV15,(E21+F21)*2*G21,0)+IF(C22=BV15,(E22+F22)*2*G22,0)+IF(C23=BV15,(E23+F23)*2*G23,0)+IF(C24=BV15,(E24+F24)*2*G24,0))/1000,0)</f>
        <v>12</v>
      </c>
      <c r="P33" s="196"/>
      <c r="Q33" s="196"/>
      <c r="R33" s="226">
        <f>O33*Цены!J180</f>
        <v>531.96</v>
      </c>
      <c r="S33" s="217"/>
      <c r="T33" s="246"/>
      <c r="V33" s="257"/>
      <c r="W33" s="257"/>
      <c r="X33" s="257"/>
      <c r="Y33" s="257"/>
      <c r="Z33" s="257"/>
      <c r="AA33" s="257"/>
      <c r="AB33" s="25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BV33" s="39">
        <v>0</v>
      </c>
    </row>
    <row r="34" spans="2:74" ht="25.05" customHeight="1" x14ac:dyDescent="0.3">
      <c r="B34" s="9"/>
      <c r="H34" s="8"/>
      <c r="J34" s="412" t="s">
        <v>56</v>
      </c>
      <c r="K34" s="413"/>
      <c r="L34" s="413"/>
      <c r="M34" s="413"/>
      <c r="N34" s="100" t="s">
        <v>195</v>
      </c>
      <c r="O34" s="269">
        <f>IF(K5&gt;0,M13+M14,0)</f>
        <v>6</v>
      </c>
      <c r="P34" s="193"/>
      <c r="Q34" s="193"/>
      <c r="R34" s="226">
        <f>O34*Цены!J134</f>
        <v>84.36</v>
      </c>
      <c r="S34" s="217"/>
      <c r="T34" s="246"/>
      <c r="AZ34" s="81">
        <v>1000</v>
      </c>
      <c r="BA34" s="81">
        <v>1250</v>
      </c>
      <c r="BB34" s="81">
        <v>1800</v>
      </c>
      <c r="BC34" s="81">
        <v>2000</v>
      </c>
      <c r="BD34" s="81">
        <v>2500</v>
      </c>
      <c r="BE34" s="81">
        <v>2700</v>
      </c>
      <c r="BF34" s="81">
        <v>3000</v>
      </c>
      <c r="BG34" s="81">
        <v>3600</v>
      </c>
      <c r="BH34" s="81">
        <v>3750</v>
      </c>
      <c r="BI34" s="81">
        <v>4000</v>
      </c>
      <c r="BJ34" s="81">
        <v>5000</v>
      </c>
      <c r="BK34" s="112">
        <v>5400</v>
      </c>
      <c r="BL34" s="140"/>
      <c r="BM34" s="139"/>
      <c r="BN34" s="139"/>
      <c r="BO34" s="139"/>
      <c r="BP34" s="139"/>
      <c r="BQ34" s="139"/>
      <c r="BR34" s="139"/>
      <c r="BV34" s="39">
        <v>1</v>
      </c>
    </row>
    <row r="35" spans="2:74" ht="25.05" customHeight="1" x14ac:dyDescent="0.35">
      <c r="B35" s="72"/>
      <c r="C35" s="73"/>
      <c r="D35" s="82"/>
      <c r="E35" s="82"/>
      <c r="F35" s="82"/>
      <c r="G35" s="82"/>
      <c r="H35" s="54"/>
      <c r="J35" s="412" t="s">
        <v>76</v>
      </c>
      <c r="K35" s="413"/>
      <c r="L35" s="413"/>
      <c r="M35" s="413"/>
      <c r="N35" s="182" t="s">
        <v>196</v>
      </c>
      <c r="O35" s="180">
        <f>IF(E11=BV50,ROUNDUP(K4*2/1000,0),0)+IF(AND(E9=BV10,E11=BV50),ROUNDUP(K4*2/1000,0),0)</f>
        <v>0</v>
      </c>
      <c r="P35" s="197"/>
      <c r="Q35" s="197"/>
      <c r="R35" s="226">
        <f>O35*Цены!J163</f>
        <v>0</v>
      </c>
      <c r="S35" s="217"/>
      <c r="T35" s="246"/>
      <c r="AZ35" s="111">
        <v>0</v>
      </c>
      <c r="BA35" s="111">
        <v>0</v>
      </c>
      <c r="BB35" s="111">
        <v>0</v>
      </c>
      <c r="BC35" s="111">
        <v>0</v>
      </c>
      <c r="BD35" s="111">
        <v>0</v>
      </c>
      <c r="BE35" s="111">
        <v>0</v>
      </c>
      <c r="BF35" s="111">
        <v>0</v>
      </c>
      <c r="BG35" s="111">
        <v>0</v>
      </c>
      <c r="BH35" s="111">
        <v>0</v>
      </c>
      <c r="BI35" s="111">
        <v>0</v>
      </c>
      <c r="BJ35" s="111">
        <v>0</v>
      </c>
      <c r="BK35" s="251">
        <f>BK22</f>
        <v>2</v>
      </c>
      <c r="BL35" s="111"/>
      <c r="BM35" s="111"/>
      <c r="BN35" s="111"/>
      <c r="BO35" s="111"/>
      <c r="BP35" s="111"/>
      <c r="BQ35" s="111"/>
      <c r="BR35" s="111"/>
      <c r="BV35" s="39">
        <v>2</v>
      </c>
    </row>
    <row r="36" spans="2:74" ht="25.05" customHeight="1" x14ac:dyDescent="0.35">
      <c r="B36" s="72"/>
      <c r="C36" s="73"/>
      <c r="D36" s="82"/>
      <c r="E36" s="82"/>
      <c r="F36" s="82"/>
      <c r="G36" s="82"/>
      <c r="H36" s="54"/>
      <c r="J36" s="392" t="s">
        <v>129</v>
      </c>
      <c r="K36" s="393"/>
      <c r="L36" s="393"/>
      <c r="M36" s="393"/>
      <c r="N36" s="182" t="str">
        <f>IF(OR(E7=Цены!G7,E7=Цены!G10),Складная!AY62,Складная!AY63)</f>
        <v>AA0996.VM100</v>
      </c>
      <c r="O36" s="180">
        <f>IF(E11=BV49,ROUNDUP(K4*2/1000,0),0)+IF(AND(E9=BV10,E11=BV49),ROUNDUP(K4*2/1000,0),0)</f>
        <v>6</v>
      </c>
      <c r="P36" s="197"/>
      <c r="Q36" s="197"/>
      <c r="R36" s="206">
        <f>IF(N36=AY62,O36*Цены!J182,O36*Цены!K167)</f>
        <v>200.82</v>
      </c>
      <c r="S36" s="187"/>
      <c r="T36" s="244"/>
      <c r="AZ36" s="113">
        <v>0</v>
      </c>
      <c r="BA36" s="113">
        <v>0</v>
      </c>
      <c r="BB36" s="113">
        <v>0</v>
      </c>
      <c r="BC36" s="113">
        <v>0</v>
      </c>
      <c r="BD36" s="111">
        <f>IF(AND(BL36&gt;0,BL36&lt;=2500),1,0)</f>
        <v>1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1">
        <f>IF(AND(BL36&gt;2500,BL36&lt;=5000),BM36+1,BM36)</f>
        <v>0</v>
      </c>
      <c r="BK36" s="113">
        <v>0</v>
      </c>
      <c r="BL36" s="139">
        <f>BL23</f>
        <v>1198</v>
      </c>
      <c r="BM36" s="139">
        <f>BM23</f>
        <v>0</v>
      </c>
      <c r="BN36" s="111"/>
      <c r="BO36" s="111"/>
      <c r="BP36" s="111"/>
      <c r="BQ36" s="111"/>
      <c r="BR36" s="111"/>
      <c r="BV36" s="39">
        <v>3</v>
      </c>
    </row>
    <row r="37" spans="2:74" ht="25.05" customHeight="1" x14ac:dyDescent="0.35">
      <c r="B37" s="72"/>
      <c r="C37" s="73"/>
      <c r="D37" s="82"/>
      <c r="E37" s="82"/>
      <c r="F37" s="82"/>
      <c r="G37" s="82"/>
      <c r="H37" s="54"/>
      <c r="J37" s="392" t="s">
        <v>161</v>
      </c>
      <c r="K37" s="393"/>
      <c r="L37" s="393"/>
      <c r="M37" s="393"/>
      <c r="N37" s="234" t="s">
        <v>198</v>
      </c>
      <c r="O37" s="178">
        <f>M9</f>
        <v>4</v>
      </c>
      <c r="P37" s="195"/>
      <c r="Q37" s="195"/>
      <c r="R37" s="206">
        <f>O37*Цены!J178</f>
        <v>71.84</v>
      </c>
      <c r="S37" s="187"/>
      <c r="T37" s="244"/>
      <c r="AY37" s="1" t="s">
        <v>264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1">
        <f>IF(AND(BL37&gt;0,BL37&lt;=2700),1,0)</f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1">
        <f>IF(AND(BL37&gt;2700,BL37&lt;=5400),BM37+1,BM37)</f>
        <v>0</v>
      </c>
      <c r="BL37" s="139">
        <f t="shared" ref="BL37:BM37" si="23">BL24</f>
        <v>0</v>
      </c>
      <c r="BM37" s="139">
        <f t="shared" si="23"/>
        <v>0</v>
      </c>
      <c r="BN37" s="111"/>
      <c r="BO37" s="111"/>
      <c r="BP37" s="111"/>
      <c r="BQ37" s="111"/>
      <c r="BR37" s="111"/>
      <c r="BV37" s="39">
        <v>4</v>
      </c>
    </row>
    <row r="38" spans="2:74" ht="25.05" customHeight="1" thickBot="1" x14ac:dyDescent="0.4">
      <c r="B38" s="72"/>
      <c r="C38" s="73"/>
      <c r="D38" s="82"/>
      <c r="E38" s="82"/>
      <c r="F38" s="82"/>
      <c r="G38" s="82"/>
      <c r="H38" s="54"/>
      <c r="J38" s="478" t="s">
        <v>74</v>
      </c>
      <c r="K38" s="479"/>
      <c r="L38" s="479"/>
      <c r="M38" s="479"/>
      <c r="N38" s="347" t="s">
        <v>226</v>
      </c>
      <c r="O38" s="321">
        <f>E9</f>
        <v>1</v>
      </c>
      <c r="P38" s="193"/>
      <c r="Q38" s="193"/>
      <c r="R38" s="225">
        <f>O38*Цены!J160</f>
        <v>133.72</v>
      </c>
      <c r="S38" s="217"/>
      <c r="T38" s="246"/>
      <c r="AY38" s="115">
        <f>IF(C20=$BV$13,(F20*E20/1000000)*8,IF(C20=$BV$14,(F20*E20/1000000)*6.5,(F20*E20/1000000)*11))</f>
        <v>14.279847999999999</v>
      </c>
      <c r="AZ38" s="113">
        <v>0</v>
      </c>
      <c r="BA38" s="113">
        <v>0</v>
      </c>
      <c r="BB38" s="113">
        <v>0</v>
      </c>
      <c r="BC38" s="113">
        <v>0</v>
      </c>
      <c r="BD38" s="111">
        <f>IF(AND(BL38&gt;0,BL38&lt;=2500),1,0)</f>
        <v>1</v>
      </c>
      <c r="BE38" s="113">
        <v>0</v>
      </c>
      <c r="BF38" s="113">
        <v>0</v>
      </c>
      <c r="BG38" s="113">
        <v>0</v>
      </c>
      <c r="BH38" s="113">
        <v>0</v>
      </c>
      <c r="BI38" s="113">
        <v>0</v>
      </c>
      <c r="BJ38" s="111">
        <f>IF(AND(BL38&gt;2500,BL38&lt;=5000),BM38+1,BM38)</f>
        <v>0</v>
      </c>
      <c r="BK38" s="113">
        <v>0</v>
      </c>
      <c r="BL38" s="139">
        <f t="shared" ref="BL38:BM38" si="24">BL25</f>
        <v>1198</v>
      </c>
      <c r="BM38" s="139">
        <f t="shared" si="24"/>
        <v>0</v>
      </c>
      <c r="BN38" s="111"/>
      <c r="BO38" s="111"/>
      <c r="BP38" s="111"/>
      <c r="BQ38" s="111"/>
      <c r="BR38" s="111"/>
    </row>
    <row r="39" spans="2:74" ht="25.05" customHeight="1" thickBot="1" x14ac:dyDescent="0.35">
      <c r="B39" s="9"/>
      <c r="H39" s="8"/>
      <c r="J39" s="10"/>
      <c r="K39" s="120"/>
      <c r="L39" s="120"/>
      <c r="M39" s="120"/>
      <c r="N39" s="120"/>
      <c r="O39" s="109"/>
      <c r="R39" s="108">
        <f>SUM(R22:R38)</f>
        <v>5447.8499999999995</v>
      </c>
      <c r="S39" s="85"/>
      <c r="T39" s="247"/>
      <c r="AY39" s="115">
        <f>IF(C21=$BV$13,(F21*E21/1000000)*8,IF(C21=$BV$14,(F21*E21/1000000)*6.5,(F21*E21/1000000)*11))</f>
        <v>0</v>
      </c>
      <c r="AZ39" s="113">
        <v>0</v>
      </c>
      <c r="BA39" s="113">
        <v>0</v>
      </c>
      <c r="BB39" s="113">
        <v>0</v>
      </c>
      <c r="BC39" s="113">
        <v>0</v>
      </c>
      <c r="BD39" s="111">
        <f>IF(AND(BL39&gt;1250,BL39&lt;=2500),1,0)</f>
        <v>1</v>
      </c>
      <c r="BE39" s="113">
        <v>0</v>
      </c>
      <c r="BF39" s="113">
        <v>0</v>
      </c>
      <c r="BG39" s="113">
        <v>0</v>
      </c>
      <c r="BH39" s="113">
        <v>0</v>
      </c>
      <c r="BI39" s="113">
        <v>0</v>
      </c>
      <c r="BJ39" s="111">
        <f>IF(AND(BL39&gt;3750,BL39&lt;=5000),BM39+1,BM39)</f>
        <v>0</v>
      </c>
      <c r="BK39" s="113">
        <v>0</v>
      </c>
      <c r="BL39" s="139">
        <f t="shared" ref="BL39:BM39" si="25">BL26</f>
        <v>2044</v>
      </c>
      <c r="BM39" s="139">
        <f t="shared" si="25"/>
        <v>0</v>
      </c>
      <c r="BN39" s="111"/>
      <c r="BO39" s="111"/>
      <c r="BP39" s="111"/>
      <c r="BQ39" s="111"/>
      <c r="BR39" s="141"/>
      <c r="BV39" s="57" t="s">
        <v>118</v>
      </c>
    </row>
    <row r="40" spans="2:74" ht="25.05" customHeight="1" thickBot="1" x14ac:dyDescent="0.35">
      <c r="B40" s="9"/>
      <c r="G40" s="260" t="s">
        <v>261</v>
      </c>
      <c r="H40" s="117">
        <f>ROUNDUP((AY18+AY43)*1.1,0)</f>
        <v>41</v>
      </c>
      <c r="Q40" s="477" t="s">
        <v>425</v>
      </c>
      <c r="AY40" s="115">
        <f>IF(C22=$BV$13,(F22*E22/1000000)*8,IF(C22=$BV$14,(F22*E22/1000000)*6.5,(F22*E22/1000000)*11))</f>
        <v>0</v>
      </c>
      <c r="AZ40" s="113">
        <v>0</v>
      </c>
      <c r="BA40" s="113">
        <v>0</v>
      </c>
      <c r="BB40" s="113">
        <v>0</v>
      </c>
      <c r="BC40" s="113">
        <v>0</v>
      </c>
      <c r="BD40" s="142">
        <f>IF(AND(J14=BY6,BL40&gt;0,BL40&lt;=2500),1,0)</f>
        <v>1</v>
      </c>
      <c r="BE40" s="143">
        <f>IF(AND(J14=BY5,BO40&gt;0,BO40&lt;=2700),1,0)</f>
        <v>0</v>
      </c>
      <c r="BF40" s="113">
        <v>0</v>
      </c>
      <c r="BG40" s="113">
        <v>0</v>
      </c>
      <c r="BH40" s="113">
        <v>0</v>
      </c>
      <c r="BI40" s="113">
        <v>0</v>
      </c>
      <c r="BJ40" s="142">
        <f>IF(AND(J14=BY6,BL40&gt;2500,BL40&lt;=4950),BM40+1,BM40)</f>
        <v>0</v>
      </c>
      <c r="BK40" s="143">
        <f>IF(AND(J14=BY5,BO40&gt;2700,BO40&lt;=5350),BP40+1,BP40)</f>
        <v>0</v>
      </c>
      <c r="BL40" s="139">
        <f>BL27</f>
        <v>1022</v>
      </c>
      <c r="BM40" s="139">
        <f>BM27</f>
        <v>0</v>
      </c>
      <c r="BN40" s="111"/>
      <c r="BO40" s="111">
        <f>BO27</f>
        <v>1022</v>
      </c>
      <c r="BP40" s="111">
        <f>BP27</f>
        <v>0</v>
      </c>
      <c r="BQ40" s="111"/>
      <c r="BR40" s="111"/>
      <c r="BV40" s="57" t="s">
        <v>119</v>
      </c>
    </row>
    <row r="41" spans="2:74" ht="25.05" customHeight="1" thickBot="1" x14ac:dyDescent="0.35">
      <c r="B41" s="10"/>
      <c r="C41" s="120"/>
      <c r="D41" s="120"/>
      <c r="E41" s="120"/>
      <c r="F41" s="120"/>
      <c r="G41" s="120"/>
      <c r="H41" s="109"/>
      <c r="L41" s="398" t="s">
        <v>521</v>
      </c>
      <c r="M41" s="398"/>
      <c r="N41" s="398"/>
      <c r="O41" s="398"/>
      <c r="Q41" s="477"/>
      <c r="R41" s="207">
        <f>R16+R39+H25</f>
        <v>32405.3</v>
      </c>
      <c r="AY41" s="115">
        <f>IF(C23=$BV$13,(F23*E23/1000000)*8,IF(C23=$BV$14,(F23*E23/1000000)*6.5,(F23*E23/1000000)*11))</f>
        <v>0</v>
      </c>
      <c r="AZ41" s="144">
        <v>0</v>
      </c>
      <c r="BA41" s="144">
        <v>0</v>
      </c>
      <c r="BB41" s="144">
        <v>0</v>
      </c>
      <c r="BC41" s="144">
        <v>0</v>
      </c>
      <c r="BD41" s="144">
        <v>0</v>
      </c>
      <c r="BE41" s="111">
        <f>IF(AND(BO41&gt;0,BO41&lt;=2700),1,0)</f>
        <v>1</v>
      </c>
      <c r="BF41" s="144">
        <v>0</v>
      </c>
      <c r="BG41" s="144">
        <v>0</v>
      </c>
      <c r="BH41" s="144">
        <v>0</v>
      </c>
      <c r="BI41" s="144">
        <v>0</v>
      </c>
      <c r="BJ41" s="144">
        <v>0</v>
      </c>
      <c r="BK41" s="111">
        <f>IF(AND(BO41&gt;2700,BO41&lt;=5400),BP41+1,BP41)</f>
        <v>0</v>
      </c>
      <c r="BL41" s="139"/>
      <c r="BM41" s="111"/>
      <c r="BN41" s="139"/>
      <c r="BO41" s="111">
        <f>BO28</f>
        <v>450</v>
      </c>
      <c r="BP41" s="111">
        <f>BP28</f>
        <v>0</v>
      </c>
      <c r="BQ41" s="139"/>
      <c r="BR41" s="139"/>
    </row>
    <row r="42" spans="2:74" ht="16.2" thickBot="1" x14ac:dyDescent="0.35">
      <c r="R42" s="221"/>
      <c r="S42" s="259"/>
      <c r="T42" s="259"/>
      <c r="U42" s="16"/>
      <c r="V42" s="16"/>
      <c r="W42" s="16"/>
      <c r="X42" s="16"/>
      <c r="Y42" s="16"/>
      <c r="Z42" s="16"/>
      <c r="AA42" s="15"/>
      <c r="AB42" s="15"/>
      <c r="AC42" s="15"/>
      <c r="AD42" s="14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Y42" s="115">
        <f>IF(C24=$BV$13,(F24*E24/1000000)*8,IF(C24=$BV$14,(F24*E24/1000000)*6.5,(F24*E24/1000000)*11))</f>
        <v>0</v>
      </c>
    </row>
    <row r="43" spans="2:74" ht="18.600000000000001" thickBot="1" x14ac:dyDescent="0.4">
      <c r="R43" s="6"/>
      <c r="S43" s="6"/>
      <c r="T43" s="248"/>
      <c r="U43" s="16"/>
      <c r="V43" s="16"/>
      <c r="W43" s="16"/>
      <c r="X43" s="16"/>
      <c r="Y43" s="16"/>
      <c r="Z43" s="16"/>
      <c r="AA43" s="15"/>
      <c r="AB43" s="15"/>
      <c r="AC43" s="15"/>
      <c r="AD43" s="14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Y43" s="230">
        <f>SUM(AY38:AY42)*2</f>
        <v>28.559695999999999</v>
      </c>
      <c r="BV43" s="73" t="s">
        <v>126</v>
      </c>
    </row>
    <row r="44" spans="2:74" x14ac:dyDescent="0.3">
      <c r="R44" s="222"/>
      <c r="S44" s="14"/>
      <c r="T44" s="249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BV44" s="1" t="s">
        <v>94</v>
      </c>
    </row>
    <row r="45" spans="2:74" ht="25.05" customHeight="1" x14ac:dyDescent="0.3">
      <c r="K45" s="83"/>
      <c r="L45" s="15"/>
      <c r="M45" s="15"/>
      <c r="N45" s="84"/>
      <c r="O45" s="67"/>
      <c r="P45" s="67"/>
      <c r="Q45" s="67"/>
      <c r="R45" s="222"/>
      <c r="S45" s="14"/>
      <c r="T45" s="249"/>
      <c r="U45" s="14"/>
      <c r="V45" s="14"/>
      <c r="W45" s="14"/>
      <c r="X45" s="14"/>
      <c r="Y45" s="14"/>
      <c r="Z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BE45" s="186" t="s">
        <v>518</v>
      </c>
    </row>
    <row r="46" spans="2:74" ht="25.05" customHeight="1" x14ac:dyDescent="0.3">
      <c r="K46" s="83"/>
      <c r="L46" s="15"/>
      <c r="M46" s="15"/>
      <c r="N46" s="84"/>
      <c r="O46" s="67"/>
      <c r="P46" s="67"/>
      <c r="Q46" s="67"/>
      <c r="R46" s="222"/>
      <c r="S46" s="14"/>
      <c r="T46" s="249"/>
      <c r="U46" s="14"/>
      <c r="V46" s="14"/>
      <c r="W46" s="14"/>
      <c r="X46" s="14"/>
      <c r="Y46" s="14"/>
      <c r="Z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2:74" ht="25.05" customHeight="1" x14ac:dyDescent="0.3">
      <c r="K47" s="83"/>
      <c r="L47" s="15"/>
      <c r="M47" s="15"/>
      <c r="N47" s="84"/>
      <c r="O47" s="67"/>
      <c r="P47" s="67"/>
      <c r="Q47" s="67"/>
      <c r="AY47" s="21" t="str">
        <f>Подвесная!BU50</f>
        <v>Серебро матовое</v>
      </c>
      <c r="AZ47" s="81">
        <v>1000</v>
      </c>
      <c r="BA47" s="81">
        <v>1250</v>
      </c>
      <c r="BB47" s="81">
        <v>1800</v>
      </c>
      <c r="BC47" s="81">
        <v>2000</v>
      </c>
      <c r="BD47" s="81">
        <v>2500</v>
      </c>
      <c r="BE47" s="81">
        <v>2700</v>
      </c>
      <c r="BF47" s="81">
        <v>3000</v>
      </c>
      <c r="BG47" s="81">
        <v>3600</v>
      </c>
      <c r="BH47" s="81">
        <v>3750</v>
      </c>
      <c r="BI47" s="81">
        <v>4000</v>
      </c>
      <c r="BJ47" s="81">
        <v>5000</v>
      </c>
      <c r="BK47" s="112">
        <v>5400</v>
      </c>
      <c r="BL47" s="140"/>
      <c r="BM47" s="139"/>
      <c r="BN47" s="139"/>
      <c r="BO47" s="139"/>
      <c r="BP47" s="139"/>
      <c r="BQ47" s="139"/>
      <c r="BR47" s="139"/>
      <c r="BS47" s="30"/>
      <c r="BT47" s="30"/>
      <c r="BU47" s="30"/>
      <c r="BV47" s="1" t="s">
        <v>80</v>
      </c>
    </row>
    <row r="48" spans="2:74" ht="25.05" customHeight="1" x14ac:dyDescent="0.3">
      <c r="K48" s="83"/>
      <c r="L48" s="15"/>
      <c r="M48" s="15"/>
      <c r="N48" s="84"/>
      <c r="O48" s="67"/>
      <c r="P48" s="67"/>
      <c r="Q48" s="67"/>
      <c r="AY48" s="21" t="str">
        <f>Подвесная!BU51</f>
        <v>Черный матовый</v>
      </c>
      <c r="AZ48" s="111">
        <v>0</v>
      </c>
      <c r="BA48" s="111">
        <v>0</v>
      </c>
      <c r="BB48" s="111">
        <v>0</v>
      </c>
      <c r="BC48" s="111">
        <v>0</v>
      </c>
      <c r="BD48" s="111">
        <v>0</v>
      </c>
      <c r="BE48" s="111">
        <v>0</v>
      </c>
      <c r="BF48" s="111">
        <v>0</v>
      </c>
      <c r="BG48" s="111">
        <v>0</v>
      </c>
      <c r="BH48" s="111">
        <v>0</v>
      </c>
      <c r="BI48" s="111">
        <v>0</v>
      </c>
      <c r="BJ48" s="111">
        <v>0</v>
      </c>
      <c r="BK48" s="251">
        <f>BK35</f>
        <v>2</v>
      </c>
      <c r="BL48" s="111"/>
      <c r="BM48" s="111"/>
      <c r="BN48" s="111"/>
      <c r="BO48" s="111"/>
      <c r="BP48" s="111"/>
      <c r="BQ48" s="111"/>
      <c r="BR48" s="111"/>
      <c r="BS48" s="30"/>
      <c r="BT48" s="30"/>
      <c r="BU48" s="30"/>
      <c r="BV48" s="16" t="s">
        <v>159</v>
      </c>
    </row>
    <row r="49" spans="10:74" ht="25.05" customHeight="1" x14ac:dyDescent="0.3">
      <c r="K49" s="83"/>
      <c r="L49" s="15"/>
      <c r="M49" s="15"/>
      <c r="N49" s="84"/>
      <c r="O49" s="67"/>
      <c r="P49" s="67"/>
      <c r="Q49" s="67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Y49" s="21" t="str">
        <f>Подвесная!BU52</f>
        <v>Слоновая кость</v>
      </c>
      <c r="AZ49" s="113">
        <v>0</v>
      </c>
      <c r="BA49" s="113">
        <v>0</v>
      </c>
      <c r="BB49" s="113">
        <v>0</v>
      </c>
      <c r="BC49" s="113">
        <v>0</v>
      </c>
      <c r="BD49" s="111">
        <f>IF(AND(BL49&gt;0,BL49&lt;=2500),1,0)</f>
        <v>1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1">
        <f>IF(AND(BL49&gt;2500,BL49&lt;=4950),BM49+1,BM49)</f>
        <v>0</v>
      </c>
      <c r="BK49" s="113">
        <v>0</v>
      </c>
      <c r="BL49" s="139">
        <f>BL36</f>
        <v>1198</v>
      </c>
      <c r="BM49" s="139">
        <f>BM36</f>
        <v>0</v>
      </c>
      <c r="BN49" s="111"/>
      <c r="BO49" s="111"/>
      <c r="BP49" s="111"/>
      <c r="BQ49" s="111"/>
      <c r="BR49" s="111"/>
      <c r="BS49" s="30"/>
      <c r="BT49" s="30"/>
      <c r="BU49" s="30"/>
      <c r="BV49" s="16" t="s">
        <v>129</v>
      </c>
    </row>
    <row r="50" spans="10:74" ht="25.05" customHeight="1" x14ac:dyDescent="0.3">
      <c r="K50" s="83"/>
      <c r="L50" s="15"/>
      <c r="M50" s="15"/>
      <c r="N50" s="84"/>
      <c r="O50" s="67"/>
      <c r="P50" s="67"/>
      <c r="Q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Y50" s="21" t="str">
        <f>Подвесная!BU53</f>
        <v>Белый матовый</v>
      </c>
      <c r="AZ50" s="113">
        <v>0</v>
      </c>
      <c r="BA50" s="113">
        <v>0</v>
      </c>
      <c r="BB50" s="113">
        <v>0</v>
      </c>
      <c r="BC50" s="113">
        <v>0</v>
      </c>
      <c r="BD50" s="113">
        <v>0</v>
      </c>
      <c r="BE50" s="111">
        <f>IF(AND(BL50&gt;0,BL50&lt;=2700),1,0)</f>
        <v>0</v>
      </c>
      <c r="BF50" s="113">
        <v>0</v>
      </c>
      <c r="BG50" s="113">
        <v>0</v>
      </c>
      <c r="BH50" s="113">
        <v>0</v>
      </c>
      <c r="BI50" s="113">
        <v>0</v>
      </c>
      <c r="BJ50" s="113">
        <v>0</v>
      </c>
      <c r="BK50" s="111">
        <f>IF(AND(BL50&gt;2700,BL50&lt;=5400),BM50+1,BM50)</f>
        <v>0</v>
      </c>
      <c r="BL50" s="139">
        <f t="shared" ref="BL50:BM50" si="26">BL37</f>
        <v>0</v>
      </c>
      <c r="BM50" s="139">
        <f t="shared" si="26"/>
        <v>0</v>
      </c>
      <c r="BN50" s="111"/>
      <c r="BO50" s="111"/>
      <c r="BP50" s="111"/>
      <c r="BQ50" s="111"/>
      <c r="BR50" s="111"/>
      <c r="BS50" s="30"/>
      <c r="BT50" s="30"/>
      <c r="BU50" s="30"/>
      <c r="BV50" s="1" t="s">
        <v>76</v>
      </c>
    </row>
    <row r="51" spans="10:74" ht="25.05" customHeight="1" x14ac:dyDescent="0.3">
      <c r="K51" s="83"/>
      <c r="L51" s="15"/>
      <c r="M51" s="15"/>
      <c r="N51" s="84"/>
      <c r="O51" s="67"/>
      <c r="P51" s="67"/>
      <c r="Q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Y51" s="21" t="str">
        <f>Подвесная!BU54</f>
        <v xml:space="preserve">Венге темный </v>
      </c>
      <c r="AZ51" s="113">
        <v>0</v>
      </c>
      <c r="BA51" s="113">
        <v>0</v>
      </c>
      <c r="BB51" s="113">
        <v>0</v>
      </c>
      <c r="BC51" s="113">
        <v>0</v>
      </c>
      <c r="BD51" s="111">
        <f>IF(AND(BL51&gt;0,BL51&lt;=2500),1,0)</f>
        <v>1</v>
      </c>
      <c r="BE51" s="113">
        <v>0</v>
      </c>
      <c r="BF51" s="113">
        <v>0</v>
      </c>
      <c r="BG51" s="113">
        <v>0</v>
      </c>
      <c r="BH51" s="113">
        <v>0</v>
      </c>
      <c r="BI51" s="113">
        <v>0</v>
      </c>
      <c r="BJ51" s="111">
        <f>IF(AND(BL51&gt;2500,BL51&lt;=5000),BM51+1,BM51)</f>
        <v>0</v>
      </c>
      <c r="BK51" s="113">
        <v>0</v>
      </c>
      <c r="BL51" s="139">
        <f t="shared" ref="BL51:BM51" si="27">BL38</f>
        <v>1198</v>
      </c>
      <c r="BM51" s="139">
        <f t="shared" si="27"/>
        <v>0</v>
      </c>
      <c r="BN51" s="111"/>
      <c r="BO51" s="111"/>
      <c r="BP51" s="111"/>
      <c r="BQ51" s="111"/>
      <c r="BR51" s="111"/>
      <c r="BS51" s="30"/>
      <c r="BT51" s="30"/>
      <c r="BU51" s="30"/>
    </row>
    <row r="52" spans="10:74" ht="25.05" customHeight="1" x14ac:dyDescent="0.3">
      <c r="K52" s="83"/>
      <c r="L52" s="15"/>
      <c r="M52" s="15"/>
      <c r="N52" s="84"/>
      <c r="O52" s="67"/>
      <c r="P52" s="67"/>
      <c r="Q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Y52" s="21" t="str">
        <f>Подвесная!BU55</f>
        <v>Дуб белый</v>
      </c>
      <c r="AZ52" s="113">
        <v>0</v>
      </c>
      <c r="BA52" s="113">
        <v>0</v>
      </c>
      <c r="BB52" s="113">
        <v>0</v>
      </c>
      <c r="BC52" s="113">
        <v>0</v>
      </c>
      <c r="BD52" s="111">
        <f>IF(AND(BL52&gt;1250,BL52&lt;=2500),1,0)</f>
        <v>1</v>
      </c>
      <c r="BE52" s="113">
        <v>0</v>
      </c>
      <c r="BF52" s="113">
        <v>0</v>
      </c>
      <c r="BG52" s="113">
        <v>0</v>
      </c>
      <c r="BH52" s="113">
        <v>0</v>
      </c>
      <c r="BI52" s="113">
        <v>0</v>
      </c>
      <c r="BJ52" s="111">
        <f>IF(AND(BL52&gt;3750,BL52&lt;=5000),BM52+1,BM52)</f>
        <v>0</v>
      </c>
      <c r="BK52" s="113">
        <v>0</v>
      </c>
      <c r="BL52" s="139">
        <f t="shared" ref="BL52:BM52" si="28">BL39</f>
        <v>2044</v>
      </c>
      <c r="BM52" s="139">
        <f t="shared" si="28"/>
        <v>0</v>
      </c>
      <c r="BN52" s="111"/>
      <c r="BO52" s="111"/>
      <c r="BP52" s="111"/>
      <c r="BQ52" s="111"/>
      <c r="BR52" s="141"/>
      <c r="BS52" s="30"/>
      <c r="BT52" s="30"/>
      <c r="BU52" s="30"/>
    </row>
    <row r="53" spans="10:74" ht="25.05" customHeight="1" x14ac:dyDescent="0.3">
      <c r="K53" s="83"/>
      <c r="L53" s="15"/>
      <c r="M53" s="15"/>
      <c r="N53" s="84"/>
      <c r="O53" s="67"/>
      <c r="P53" s="67"/>
      <c r="Q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Y53" s="21" t="str">
        <f>Подвесная!BU56</f>
        <v xml:space="preserve"> медь античная*</v>
      </c>
      <c r="AZ53" s="113">
        <v>0</v>
      </c>
      <c r="BA53" s="113">
        <v>0</v>
      </c>
      <c r="BB53" s="143">
        <f>IF(AND(J14=BY5,BO53&gt;0,BO53&lt;=1800),1,0)</f>
        <v>0</v>
      </c>
      <c r="BC53" s="113">
        <v>0</v>
      </c>
      <c r="BD53" s="142">
        <f>IF(AND(J14=BY6,BL53&gt;0,BL53&lt;=2500),1,0)</f>
        <v>1</v>
      </c>
      <c r="BE53" s="143">
        <f>IF(AND(J14=BY5,BO53&gt;1800,BO53&lt;=2700),1,0)</f>
        <v>0</v>
      </c>
      <c r="BF53" s="113">
        <v>0</v>
      </c>
      <c r="BG53" s="143">
        <f>IF(AND(J14=BY5,BO53&gt;2700,BO53&lt;=3600),1,0)</f>
        <v>0</v>
      </c>
      <c r="BH53" s="113">
        <v>0</v>
      </c>
      <c r="BI53" s="113">
        <v>0</v>
      </c>
      <c r="BJ53" s="142">
        <f>IF(AND(J14=BY6,BL53&gt;2500,BL53&lt;=4950),BM53+1,BM53)</f>
        <v>0</v>
      </c>
      <c r="BK53" s="143">
        <f>IF(AND(J14=BY5,BO53&gt;3600,BO53&lt;=5350),BP53+1,BP53)</f>
        <v>0</v>
      </c>
      <c r="BL53" s="139">
        <f>BL40</f>
        <v>1022</v>
      </c>
      <c r="BM53" s="139">
        <f>BM40</f>
        <v>0</v>
      </c>
      <c r="BN53" s="111"/>
      <c r="BO53" s="111">
        <f>BO40</f>
        <v>1022</v>
      </c>
      <c r="BP53" s="111">
        <f>BP40</f>
        <v>0</v>
      </c>
      <c r="BQ53" s="111"/>
      <c r="BR53" s="111"/>
      <c r="BS53" s="30"/>
      <c r="BT53" s="30"/>
      <c r="BU53" s="30"/>
      <c r="BV53" s="1" t="s">
        <v>177</v>
      </c>
    </row>
    <row r="54" spans="10:74" ht="25.05" customHeight="1" x14ac:dyDescent="0.3">
      <c r="K54" s="83"/>
      <c r="L54" s="15"/>
      <c r="M54" s="15"/>
      <c r="N54" s="84"/>
      <c r="O54" s="67"/>
      <c r="P54" s="67"/>
      <c r="Q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Y54" s="21" t="str">
        <f>Подвесная!BU57</f>
        <v>сталь воронёная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11">
        <f>IF(AND(BO54&gt;0,BO54&lt;=2700),1,0)</f>
        <v>1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11">
        <f>IF(AND(BO54&gt;2700,BO54&lt;=5400),BP54+1,BP54)</f>
        <v>0</v>
      </c>
      <c r="BL54" s="139"/>
      <c r="BM54" s="111"/>
      <c r="BN54" s="139"/>
      <c r="BO54" s="111">
        <f>BO41</f>
        <v>450</v>
      </c>
      <c r="BP54" s="111">
        <f>BP41</f>
        <v>0</v>
      </c>
      <c r="BQ54" s="139"/>
      <c r="BR54" s="139"/>
      <c r="BS54" s="30"/>
      <c r="BT54" s="30"/>
      <c r="BU54" s="30"/>
      <c r="BV54" s="1" t="s">
        <v>174</v>
      </c>
    </row>
    <row r="55" spans="10:74" x14ac:dyDescent="0.3">
      <c r="K55" s="83"/>
      <c r="L55" s="15"/>
      <c r="M55" s="15"/>
      <c r="N55" s="84"/>
      <c r="O55" s="67"/>
      <c r="P55" s="67"/>
      <c r="Q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Y55" s="21" t="str">
        <f>Подвесная!BU58</f>
        <v>золото матовое</v>
      </c>
      <c r="BA55" s="138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</row>
    <row r="56" spans="10:74" x14ac:dyDescent="0.3">
      <c r="J56" s="495"/>
      <c r="K56" s="495"/>
      <c r="L56" s="495"/>
      <c r="M56" s="495"/>
      <c r="N56" s="495"/>
      <c r="O56" s="85"/>
      <c r="P56" s="85"/>
      <c r="Q56" s="85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Y56" s="21" t="str">
        <f>Подвесная!BU59</f>
        <v>антрацит</v>
      </c>
      <c r="BA56" s="91"/>
    </row>
    <row r="57" spans="10:74" ht="15.75" customHeight="1" x14ac:dyDescent="0.3"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Y57" s="21" t="str">
        <f>Подвесная!BU60</f>
        <v>кварц бронзовый*</v>
      </c>
      <c r="BA57" s="91"/>
    </row>
    <row r="58" spans="10:74" ht="15.75" customHeight="1" x14ac:dyDescent="0.3">
      <c r="U58" s="67"/>
      <c r="V58" s="67"/>
      <c r="W58" s="67"/>
      <c r="X58" s="67"/>
      <c r="Y58" s="67"/>
      <c r="Z58" s="67"/>
      <c r="AA58" s="67"/>
      <c r="AB58" s="67"/>
      <c r="AC58" s="67"/>
      <c r="AY58" s="21" t="str">
        <f>Подвесная!BU61</f>
        <v>жемчуг серый*</v>
      </c>
      <c r="BA58" s="91"/>
      <c r="BV58" s="1" t="s">
        <v>178</v>
      </c>
    </row>
    <row r="59" spans="10:74" ht="15.75" customHeight="1" x14ac:dyDescent="0.3">
      <c r="U59" s="67"/>
      <c r="V59" s="67"/>
      <c r="W59" s="67"/>
      <c r="X59" s="67"/>
      <c r="Y59" s="67"/>
      <c r="Z59" s="67"/>
      <c r="AA59" s="67"/>
      <c r="AB59" s="67"/>
      <c r="AC59" s="67"/>
      <c r="AY59" s="21" t="str">
        <f>Подвесная!BU62</f>
        <v>жемчуг розовый*</v>
      </c>
      <c r="BA59" s="91"/>
      <c r="BV59" s="1" t="s">
        <v>174</v>
      </c>
    </row>
    <row r="60" spans="10:74" ht="15.75" customHeight="1" x14ac:dyDescent="0.3">
      <c r="U60" s="67"/>
      <c r="V60" s="67"/>
      <c r="W60" s="67"/>
      <c r="X60" s="67"/>
      <c r="Y60" s="67"/>
      <c r="Z60" s="67"/>
      <c r="AA60" s="67"/>
      <c r="AB60" s="67"/>
      <c r="AC60" s="67"/>
      <c r="AY60" s="91"/>
      <c r="BA60" s="91"/>
    </row>
    <row r="61" spans="10:74" x14ac:dyDescent="0.3"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Y61" s="91"/>
      <c r="BA61" s="91"/>
    </row>
    <row r="62" spans="10:74" x14ac:dyDescent="0.3"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Y62" s="91" t="s">
        <v>197</v>
      </c>
      <c r="BA62" s="91"/>
    </row>
    <row r="63" spans="10:74" x14ac:dyDescent="0.3"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Y63" s="91" t="s">
        <v>240</v>
      </c>
      <c r="BA63" s="91"/>
    </row>
    <row r="64" spans="10:74" x14ac:dyDescent="0.3"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</row>
    <row r="65" spans="21:49" x14ac:dyDescent="0.3"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  <mergeCell ref="B8:D8"/>
    <mergeCell ref="B9:D9"/>
    <mergeCell ref="B10:D10"/>
    <mergeCell ref="B11:D11"/>
    <mergeCell ref="B12:D12"/>
    <mergeCell ref="B4:D4"/>
    <mergeCell ref="B3:D3"/>
    <mergeCell ref="B5:D5"/>
    <mergeCell ref="B6:D6"/>
    <mergeCell ref="B7:D7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</mergeCells>
  <conditionalFormatting sqref="C26">
    <cfRule type="expression" dxfId="70" priority="566">
      <formula>$C$26=$BV$40</formula>
    </cfRule>
  </conditionalFormatting>
  <conditionalFormatting sqref="C30">
    <cfRule type="expression" dxfId="69" priority="569">
      <formula>$C$30=$BV$43</formula>
    </cfRule>
  </conditionalFormatting>
  <conditionalFormatting sqref="C26:D26">
    <cfRule type="expression" dxfId="68" priority="567">
      <formula>$C$26=$BV$39</formula>
    </cfRule>
  </conditionalFormatting>
  <conditionalFormatting sqref="E6:E7">
    <cfRule type="cellIs" dxfId="67" priority="36" operator="greaterThan">
      <formula>0</formula>
    </cfRule>
  </conditionalFormatting>
  <conditionalFormatting sqref="E8">
    <cfRule type="expression" dxfId="66" priority="1052">
      <formula>AND($E$8=$BV$5,$E$7=$AY$48)</formula>
    </cfRule>
  </conditionalFormatting>
  <conditionalFormatting sqref="E10">
    <cfRule type="expression" dxfId="65" priority="417">
      <formula>$E$9=$BV$10</formula>
    </cfRule>
  </conditionalFormatting>
  <conditionalFormatting sqref="E11">
    <cfRule type="cellIs" dxfId="64" priority="65" operator="greaterThan">
      <formula>0</formula>
    </cfRule>
  </conditionalFormatting>
  <conditionalFormatting sqref="E12">
    <cfRule type="cellIs" dxfId="63" priority="61" operator="greaterThan">
      <formula>0</formula>
    </cfRule>
  </conditionalFormatting>
  <conditionalFormatting sqref="H40">
    <cfRule type="expression" dxfId="62" priority="30">
      <formula>$H$40&gt;40</formula>
    </cfRule>
  </conditionalFormatting>
  <conditionalFormatting sqref="K4">
    <cfRule type="expression" dxfId="61" priority="111">
      <formula>$K$4&gt;3200</formula>
    </cfRule>
  </conditionalFormatting>
  <conditionalFormatting sqref="K4:K5 T10:AH13 AV10:AW13 S10:S17 AG11:AG15 U12:AF15 T14:AG15 AH15:AH16 T16 E20 F20:H24 S22:S30 O22:Q38 H25 S31:T39 AA42:AD43">
    <cfRule type="expression" dxfId="60" priority="548">
      <formula>$E$4=0</formula>
    </cfRule>
  </conditionalFormatting>
  <conditionalFormatting sqref="K5">
    <cfRule type="expression" dxfId="59" priority="564">
      <formula>AND(OR($K$5&lt;300,$K$5&gt;600),$E$4&gt;0)</formula>
    </cfRule>
  </conditionalFormatting>
  <conditionalFormatting sqref="L9:Q15">
    <cfRule type="expression" dxfId="58" priority="23">
      <formula>$E$4=0</formula>
    </cfRule>
  </conditionalFormatting>
  <conditionalFormatting sqref="O37:Q37 S37:T37">
    <cfRule type="expression" dxfId="57" priority="494">
      <formula>#REF!=0</formula>
    </cfRule>
  </conditionalFormatting>
  <conditionalFormatting sqref="R41">
    <cfRule type="expression" dxfId="56" priority="18">
      <formula>$N$3=$CE$11</formula>
    </cfRule>
  </conditionalFormatting>
  <conditionalFormatting sqref="S9:AW9 AI16:AW16">
    <cfRule type="expression" dxfId="55" priority="6">
      <formula>$E$4=0</formula>
    </cfRule>
  </conditionalFormatting>
  <conditionalFormatting sqref="U9:AF15">
    <cfRule type="cellIs" dxfId="54" priority="77" operator="equal">
      <formula>0</formula>
    </cfRule>
  </conditionalFormatting>
  <conditionalFormatting sqref="AB3:AC3">
    <cfRule type="expression" dxfId="53" priority="934">
      <formula>$CC$19=FALSE</formula>
    </cfRule>
  </conditionalFormatting>
  <conditionalFormatting sqref="AH18 AS33:AW33 R41">
    <cfRule type="expression" dxfId="52" priority="562">
      <formula>$E$4=0</formula>
    </cfRule>
  </conditionalFormatting>
  <conditionalFormatting sqref="AI33:AR33">
    <cfRule type="expression" dxfId="51" priority="7">
      <formula>$E$4=0</formula>
    </cfRule>
  </conditionalFormatting>
  <conditionalFormatting sqref="AI10:AU15">
    <cfRule type="expression" dxfId="50" priority="3">
      <formula>$E$4=0</formula>
    </cfRule>
  </conditionalFormatting>
  <conditionalFormatting sqref="AI33:AW33 R1:AH2 AI1:AW9 R3:T3 V3:W3 Z3:AH3 S4:AH5 R6:AH6 S7:AH16 AV10:AW13 AI16:AW16 S17 R18:AW19 R20:S20 S21:S30 S31:AW32 S33:AB33 S34:AW39 R40:AW41">
    <cfRule type="expression" dxfId="49" priority="22">
      <formula>$N$3=$CE$9</formula>
    </cfRule>
  </conditionalFormatting>
  <conditionalFormatting sqref="AI33:AW33 T1:AW2 T3 V3:W3 Z3:AW3 T4:AW9 AV10:AW13 T10:AH15 T16:AW16 T18:AW19 T31:AW32 T33:AB33 T34:AW41">
    <cfRule type="expression" dxfId="48" priority="20">
      <formula>$N$3=$CE$10</formula>
    </cfRule>
  </conditionalFormatting>
  <conditionalFormatting sqref="AV15:AW15">
    <cfRule type="expression" dxfId="47" priority="1">
      <formula>$E$4=0</formula>
    </cfRule>
  </conditionalFormatting>
  <dataValidations count="10">
    <dataValidation type="list" allowBlank="1" showInputMessage="1" showErrorMessage="1" sqref="E10" xr:uid="{00000000-0002-0000-0200-000000000000}">
      <formula1>$BV$18:$BV$19</formula1>
    </dataValidation>
    <dataValidation type="list" allowBlank="1" showInputMessage="1" showErrorMessage="1" sqref="E8" xr:uid="{00000000-0002-0000-0200-000001000000}">
      <formula1>$BV$5:$BV$6</formula1>
    </dataValidation>
    <dataValidation type="list" allowBlank="1" showInputMessage="1" showErrorMessage="1" sqref="E9" xr:uid="{00000000-0002-0000-0200-000002000000}">
      <formula1>$BV$9:$BV$10</formula1>
    </dataValidation>
    <dataValidation type="list" allowBlank="1" showInputMessage="1" showErrorMessage="1" sqref="E5" xr:uid="{00000000-0002-0000-0200-000003000000}">
      <formula1>$BV$33:$BV$37</formula1>
    </dataValidation>
    <dataValidation type="list" allowBlank="1" showInputMessage="1" showErrorMessage="1" sqref="C20:C24" xr:uid="{00000000-0002-0000-0200-000004000000}">
      <formula1>$BV$13:$BV$15</formula1>
    </dataValidation>
    <dataValidation type="list" allowBlank="1" showInputMessage="1" showErrorMessage="1" sqref="E11" xr:uid="{00000000-0002-0000-0200-000005000000}">
      <formula1>$BV$49:$BV$50</formula1>
    </dataValidation>
    <dataValidation type="list" allowBlank="1" showInputMessage="1" showErrorMessage="1" sqref="E6" xr:uid="{00000000-0002-0000-0200-000006000000}">
      <formula1>$BY$5:$BY$6</formula1>
    </dataValidation>
    <dataValidation type="whole" allowBlank="1" showInputMessage="1" showErrorMessage="1" sqref="E12" xr:uid="{00000000-0002-0000-0200-000007000000}">
      <formula1>150</formula1>
      <formula2>K4</formula2>
    </dataValidation>
    <dataValidation type="list" allowBlank="1" showInputMessage="1" showErrorMessage="1" sqref="Z3:AA3" xr:uid="{00000000-0002-0000-0200-000008000000}">
      <formula1>$CE$21:$CE$28</formula1>
    </dataValidation>
    <dataValidation type="list" allowBlank="1" showInputMessage="1" showErrorMessage="1" sqref="E7:H7" xr:uid="{00000000-0002-0000-0200-000009000000}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theme="1"/>
    <pageSetUpPr fitToPage="1"/>
  </sheetPr>
  <dimension ref="B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75" customWidth="1"/>
    <col min="19" max="19" width="1.77734375" style="1" customWidth="1"/>
    <col min="20" max="20" width="24.77734375" style="1" customWidth="1"/>
    <col min="21" max="32" width="11.77734375" style="1" customWidth="1"/>
    <col min="33" max="33" width="14.77734375" style="1" customWidth="1"/>
    <col min="34" max="34" width="14.77734375" style="75" customWidth="1"/>
    <col min="35" max="46" width="5.77734375" style="75" hidden="1" customWidth="1"/>
    <col min="47" max="49" width="14.77734375" style="75" hidden="1" customWidth="1"/>
    <col min="50" max="50" width="8.5546875" style="1" hidden="1" customWidth="1"/>
    <col min="51" max="51" width="15.6640625" style="1" hidden="1" customWidth="1"/>
    <col min="52" max="53" width="11.21875" style="1" hidden="1" customWidth="1"/>
    <col min="54" max="54" width="11.109375" style="1" hidden="1" customWidth="1"/>
    <col min="55" max="55" width="11.44140625" style="1" hidden="1" customWidth="1"/>
    <col min="56" max="56" width="12.5546875" style="1" hidden="1" customWidth="1"/>
    <col min="57" max="57" width="12.6640625" style="1" hidden="1" customWidth="1"/>
    <col min="58" max="60" width="11.21875" style="1" hidden="1" customWidth="1"/>
    <col min="61" max="61" width="10.88671875" style="1" hidden="1" customWidth="1"/>
    <col min="62" max="62" width="11.44140625" style="1" hidden="1" customWidth="1"/>
    <col min="63" max="63" width="8.5546875" style="1" hidden="1" customWidth="1"/>
    <col min="64" max="64" width="11.21875" style="1" hidden="1" customWidth="1"/>
    <col min="65" max="69" width="8.5546875" style="1" hidden="1" customWidth="1"/>
    <col min="70" max="72" width="14.21875" style="1" hidden="1" customWidth="1"/>
    <col min="73" max="73" width="11.21875" style="1" hidden="1" customWidth="1"/>
    <col min="74" max="74" width="19.44140625" style="1" hidden="1" customWidth="1"/>
    <col min="75" max="75" width="8.88671875" style="1" hidden="1" customWidth="1"/>
    <col min="76" max="76" width="16.77734375" style="1" hidden="1" customWidth="1"/>
    <col min="77" max="77" width="26.77734375" style="1" hidden="1" customWidth="1"/>
    <col min="78" max="78" width="18.5546875" style="1" hidden="1" customWidth="1"/>
    <col min="79" max="87" width="8.88671875" style="1" hidden="1" customWidth="1"/>
    <col min="88" max="90" width="8.88671875" style="1" customWidth="1"/>
    <col min="91" max="16384" width="8.88671875" style="1"/>
  </cols>
  <sheetData>
    <row r="1" spans="2:83" ht="25.05" customHeight="1" x14ac:dyDescent="0.3">
      <c r="B1" s="441" t="s">
        <v>104</v>
      </c>
      <c r="C1" s="441"/>
      <c r="D1" s="441"/>
      <c r="E1" s="441"/>
      <c r="F1" s="441"/>
      <c r="G1" s="441"/>
      <c r="H1" s="441"/>
      <c r="I1" s="118"/>
      <c r="J1" s="441" t="s">
        <v>105</v>
      </c>
      <c r="K1" s="441"/>
      <c r="L1" s="441"/>
      <c r="M1" s="441"/>
      <c r="N1" s="441"/>
      <c r="O1" s="441"/>
      <c r="P1" s="188"/>
      <c r="Q1" s="188"/>
    </row>
    <row r="2" spans="2:83" ht="25.05" customHeight="1" thickBot="1" x14ac:dyDescent="0.35">
      <c r="I2" s="38"/>
      <c r="J2" s="38"/>
      <c r="K2" s="38"/>
      <c r="L2" s="38"/>
      <c r="M2" s="38"/>
      <c r="N2" s="38"/>
      <c r="O2" s="38"/>
      <c r="P2" s="38"/>
      <c r="Q2" s="38"/>
      <c r="R2" s="220"/>
      <c r="S2" s="220"/>
      <c r="T2" s="22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38"/>
      <c r="AY2" s="38"/>
      <c r="AZ2" s="38"/>
      <c r="BA2" s="38"/>
      <c r="BB2" s="38"/>
      <c r="BC2" s="38"/>
      <c r="BD2" s="38"/>
      <c r="BE2" s="38"/>
      <c r="BF2" s="38"/>
      <c r="BI2" s="38"/>
      <c r="BJ2" s="38"/>
      <c r="BK2" s="38"/>
      <c r="BM2" s="38"/>
      <c r="BN2" s="38"/>
      <c r="BO2" s="38"/>
      <c r="BP2" s="38"/>
      <c r="BQ2" s="38"/>
      <c r="BR2" s="38"/>
      <c r="BS2" s="38"/>
      <c r="BT2" s="38"/>
    </row>
    <row r="3" spans="2:83" ht="25.05" customHeight="1" thickBot="1" x14ac:dyDescent="0.35">
      <c r="B3" s="426" t="s">
        <v>121</v>
      </c>
      <c r="C3" s="427"/>
      <c r="D3" s="427"/>
      <c r="E3" s="434">
        <v>2600</v>
      </c>
      <c r="F3" s="434"/>
      <c r="G3" s="434"/>
      <c r="H3" s="435"/>
      <c r="J3" s="444" t="s">
        <v>263</v>
      </c>
      <c r="K3" s="445"/>
      <c r="N3" s="323"/>
      <c r="O3" s="323"/>
      <c r="R3" s="3"/>
      <c r="S3" s="3"/>
      <c r="T3" s="3"/>
      <c r="V3" s="291"/>
      <c r="W3" s="517" t="s">
        <v>417</v>
      </c>
      <c r="X3" s="517"/>
      <c r="Y3" s="517"/>
      <c r="Z3" s="417" t="s">
        <v>418</v>
      </c>
      <c r="AA3" s="417"/>
      <c r="AB3" s="291"/>
      <c r="AC3" s="291"/>
      <c r="BE3" s="186" t="s">
        <v>418</v>
      </c>
      <c r="BV3" s="39"/>
    </row>
    <row r="4" spans="2:83" ht="25.05" customHeight="1" x14ac:dyDescent="0.3">
      <c r="B4" s="428" t="s">
        <v>120</v>
      </c>
      <c r="C4" s="429"/>
      <c r="D4" s="429"/>
      <c r="E4" s="436">
        <v>1000</v>
      </c>
      <c r="F4" s="436"/>
      <c r="G4" s="436"/>
      <c r="H4" s="437"/>
      <c r="J4" s="235" t="s">
        <v>15</v>
      </c>
      <c r="K4" s="231">
        <f>E3-20</f>
        <v>2580</v>
      </c>
      <c r="M4" s="86"/>
      <c r="N4" s="86"/>
      <c r="O4" s="86"/>
      <c r="P4" s="86"/>
      <c r="Q4" s="86"/>
      <c r="R4" s="396" t="s">
        <v>453</v>
      </c>
      <c r="BV4" s="39">
        <v>1</v>
      </c>
      <c r="BX4" s="2"/>
      <c r="BY4" s="1" t="s">
        <v>451</v>
      </c>
      <c r="BZ4" s="1" t="s">
        <v>237</v>
      </c>
      <c r="CA4" s="2">
        <f>IF(E6=BY4,9,8)</f>
        <v>8</v>
      </c>
    </row>
    <row r="5" spans="2:83" ht="25.05" customHeight="1" thickBot="1" x14ac:dyDescent="0.35">
      <c r="B5" s="428" t="s">
        <v>442</v>
      </c>
      <c r="C5" s="429"/>
      <c r="D5" s="429"/>
      <c r="E5" s="384">
        <v>0</v>
      </c>
      <c r="F5" s="384"/>
      <c r="G5" s="384"/>
      <c r="H5" s="385"/>
      <c r="J5" s="119" t="s">
        <v>16</v>
      </c>
      <c r="K5" s="232">
        <f>IF(E8=BV60,(E4-10*E9)/E9,ROUNDDOWN(IF(OR(E11=BV25,E11=BV26),(E4-4*E9)/E9,IF(OR(E11=BV27,E11=BV28),(E4-10*E9)/E9)),0))</f>
        <v>490</v>
      </c>
      <c r="R5" s="397"/>
      <c r="AZ5" s="111" t="s">
        <v>256</v>
      </c>
      <c r="BA5" s="111"/>
      <c r="BB5" s="111"/>
      <c r="BC5" s="139">
        <v>4950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V5" s="39">
        <v>2</v>
      </c>
      <c r="BX5" s="3"/>
      <c r="BY5" s="1" t="s">
        <v>452</v>
      </c>
      <c r="BZ5" s="1" t="s">
        <v>253</v>
      </c>
      <c r="CA5" s="3"/>
    </row>
    <row r="6" spans="2:83" ht="25.05" customHeight="1" thickBot="1" x14ac:dyDescent="0.35">
      <c r="B6" s="428" t="s">
        <v>236</v>
      </c>
      <c r="C6" s="429"/>
      <c r="D6" s="429"/>
      <c r="E6" s="384" t="s">
        <v>452</v>
      </c>
      <c r="F6" s="384"/>
      <c r="G6" s="384"/>
      <c r="H6" s="385"/>
      <c r="AZ6" s="111" t="s">
        <v>257</v>
      </c>
      <c r="BA6" s="111"/>
      <c r="BB6" s="111"/>
      <c r="BC6" s="111">
        <v>5025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</row>
    <row r="7" spans="2:83" ht="25.05" customHeight="1" x14ac:dyDescent="0.3">
      <c r="B7" s="428" t="s">
        <v>122</v>
      </c>
      <c r="C7" s="429"/>
      <c r="D7" s="429"/>
      <c r="E7" s="384" t="s">
        <v>227</v>
      </c>
      <c r="F7" s="384"/>
      <c r="G7" s="384"/>
      <c r="H7" s="385"/>
      <c r="J7" s="503" t="s">
        <v>181</v>
      </c>
      <c r="K7" s="504"/>
      <c r="L7" s="504"/>
      <c r="M7" s="504"/>
      <c r="N7" s="318"/>
      <c r="O7" s="107"/>
      <c r="P7" s="259"/>
      <c r="Q7" s="259"/>
      <c r="R7" s="202"/>
      <c r="S7" s="146"/>
      <c r="T7" s="283"/>
      <c r="U7" s="516" t="s">
        <v>100</v>
      </c>
      <c r="V7" s="516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9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</row>
    <row r="8" spans="2:83" ht="25.05" customHeight="1" x14ac:dyDescent="0.3">
      <c r="B8" s="428" t="s">
        <v>234</v>
      </c>
      <c r="C8" s="429"/>
      <c r="D8" s="429"/>
      <c r="E8" s="384" t="s">
        <v>233</v>
      </c>
      <c r="F8" s="384"/>
      <c r="G8" s="384"/>
      <c r="H8" s="385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110"/>
      <c r="Q8" s="110"/>
      <c r="R8" s="203" t="s">
        <v>24</v>
      </c>
      <c r="S8" s="110"/>
      <c r="T8" s="254"/>
      <c r="U8" s="145">
        <v>1000</v>
      </c>
      <c r="V8" s="145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  <c r="BV8" s="55" t="s">
        <v>10</v>
      </c>
    </row>
    <row r="9" spans="2:83" ht="25.05" customHeight="1" x14ac:dyDescent="0.35">
      <c r="B9" s="430" t="s">
        <v>124</v>
      </c>
      <c r="C9" s="431"/>
      <c r="D9" s="431"/>
      <c r="E9" s="513">
        <v>2</v>
      </c>
      <c r="F9" s="513"/>
      <c r="G9" s="513"/>
      <c r="H9" s="514"/>
      <c r="J9" s="18" t="s">
        <v>2</v>
      </c>
      <c r="K9" s="181" t="s">
        <v>189</v>
      </c>
      <c r="L9" s="98">
        <f>K4</f>
        <v>2580</v>
      </c>
      <c r="M9" s="99">
        <f>IF(AND(E3&gt;0,E9=BV4),2,IF(AND(E3&gt;0,E9=BV5),4,0))</f>
        <v>4</v>
      </c>
      <c r="N9" s="99"/>
      <c r="O9" s="269">
        <f>IF(L9&gt;2650,M9,M9/2)</f>
        <v>2</v>
      </c>
      <c r="P9" s="213"/>
      <c r="Q9" s="213"/>
      <c r="R9" s="204">
        <f>O9*BT9</f>
        <v>10821.96</v>
      </c>
      <c r="S9" s="199"/>
      <c r="T9" s="255" t="str">
        <f>J9</f>
        <v>вертикальный профиль</v>
      </c>
      <c r="U9" s="218">
        <f>IF($Z$3=$CE$21,AZ9,IF($Z$3=$CE$27,AZ30,IF($Z$3=$CE$28,AZ41,AZ19)))</f>
        <v>0</v>
      </c>
      <c r="V9" s="218">
        <f t="shared" ref="V9:AF9" si="0">IF($Z$3=$CE$21,BA9,IF($Z$3=$CE$27,BA30,IF($Z$3=$CE$28,BA41,BA19)))</f>
        <v>0</v>
      </c>
      <c r="W9" s="218">
        <f t="shared" si="0"/>
        <v>0</v>
      </c>
      <c r="X9" s="218">
        <f t="shared" si="0"/>
        <v>0</v>
      </c>
      <c r="Y9" s="218">
        <f t="shared" si="0"/>
        <v>0</v>
      </c>
      <c r="Z9" s="218">
        <f t="shared" si="0"/>
        <v>0</v>
      </c>
      <c r="AA9" s="218">
        <f t="shared" si="0"/>
        <v>0</v>
      </c>
      <c r="AB9" s="218">
        <f t="shared" si="0"/>
        <v>0</v>
      </c>
      <c r="AC9" s="218">
        <f t="shared" si="0"/>
        <v>0</v>
      </c>
      <c r="AD9" s="218">
        <f t="shared" si="0"/>
        <v>0</v>
      </c>
      <c r="AE9" s="218">
        <f t="shared" si="0"/>
        <v>0</v>
      </c>
      <c r="AF9" s="218">
        <f t="shared" si="0"/>
        <v>2</v>
      </c>
      <c r="AG9" s="96"/>
      <c r="AH9" s="320">
        <f>R9</f>
        <v>10821.96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0.69</v>
      </c>
      <c r="AY9" s="3">
        <f>AX9*L9*M9/1000</f>
        <v>7.1207999999999991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250">
        <f>O9</f>
        <v>2</v>
      </c>
      <c r="BL9" s="139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5410.98</v>
      </c>
      <c r="BV9" s="55" t="s">
        <v>11</v>
      </c>
      <c r="CE9" s="1" t="s">
        <v>455</v>
      </c>
    </row>
    <row r="10" spans="2:83" ht="25.05" customHeight="1" x14ac:dyDescent="0.3">
      <c r="B10" s="430" t="s">
        <v>166</v>
      </c>
      <c r="C10" s="431"/>
      <c r="D10" s="431"/>
      <c r="E10" s="487" t="s">
        <v>168</v>
      </c>
      <c r="F10" s="487"/>
      <c r="G10" s="487"/>
      <c r="H10" s="488"/>
      <c r="J10" s="18" t="s">
        <v>3</v>
      </c>
      <c r="K10" s="181" t="s">
        <v>252</v>
      </c>
      <c r="L10" s="98">
        <f>K5-78</f>
        <v>412</v>
      </c>
      <c r="M10" s="99">
        <f>IF(E4=0,0,E9*2)</f>
        <v>4</v>
      </c>
      <c r="N10" s="98">
        <f t="shared" ref="N10" si="1">L10*M10</f>
        <v>1648</v>
      </c>
      <c r="O10" s="269">
        <f>BM10+IF(BL10&gt;0,1,0)</f>
        <v>1</v>
      </c>
      <c r="P10" s="213"/>
      <c r="Q10" s="213"/>
      <c r="R10" s="204">
        <f>O10*BT10</f>
        <v>3267.15</v>
      </c>
      <c r="S10" s="199"/>
      <c r="T10" s="255" t="str">
        <f t="shared" ref="T10" si="2">J10</f>
        <v>рамка верхняя</v>
      </c>
      <c r="U10" s="218">
        <f t="shared" ref="U10:U12" si="3">IF($Z$3=$CE$21,AZ10,IF($Z$3=$CE$27,AZ31,IF($Z$3=$CE$28,AZ42,AZ20)))</f>
        <v>0</v>
      </c>
      <c r="V10" s="218">
        <f t="shared" ref="V10:V12" si="4">IF($Z$3=$CE$21,BA10,IF($Z$3=$CE$27,BA31,IF($Z$3=$CE$28,BA42,BA20)))</f>
        <v>0</v>
      </c>
      <c r="W10" s="218">
        <f t="shared" ref="W10:W12" si="5">IF($Z$3=$CE$21,BB10,IF($Z$3=$CE$27,BB31,IF($Z$3=$CE$28,BB42,BB20)))</f>
        <v>0</v>
      </c>
      <c r="X10" s="218">
        <f t="shared" ref="X10:X12" si="6">IF($Z$3=$CE$21,BC10,IF($Z$3=$CE$27,BC31,IF($Z$3=$CE$28,BC42,BC20)))</f>
        <v>1</v>
      </c>
      <c r="Y10" s="218">
        <f t="shared" ref="Y10:Y12" si="7">IF($Z$3=$CE$21,BD10,IF($Z$3=$CE$27,BD31,IF($Z$3=$CE$28,BD42,BD20)))</f>
        <v>0</v>
      </c>
      <c r="Z10" s="218">
        <f t="shared" ref="Z10:Z12" si="8">IF($Z$3=$CE$21,BE10,IF($Z$3=$CE$27,BE31,IF($Z$3=$CE$28,BE42,BE20)))</f>
        <v>0</v>
      </c>
      <c r="AA10" s="218">
        <f t="shared" ref="AA10:AA12" si="9">IF($Z$3=$CE$21,BF10,IF($Z$3=$CE$27,BF31,IF($Z$3=$CE$28,BF42,BF20)))</f>
        <v>0</v>
      </c>
      <c r="AB10" s="218">
        <f t="shared" ref="AB10:AB12" si="10">IF($Z$3=$CE$21,BG10,IF($Z$3=$CE$27,BG31,IF($Z$3=$CE$28,BG42,BG20)))</f>
        <v>0</v>
      </c>
      <c r="AC10" s="218">
        <f t="shared" ref="AC10:AC12" si="11">IF($Z$3=$CE$21,BH10,IF($Z$3=$CE$27,BH31,IF($Z$3=$CE$28,BH42,BH20)))</f>
        <v>0</v>
      </c>
      <c r="AD10" s="218">
        <f t="shared" ref="AD10:AD12" si="12">IF($Z$3=$CE$21,BI10,IF($Z$3=$CE$27,BI31,IF($Z$3=$CE$28,BI42,BI20)))</f>
        <v>0</v>
      </c>
      <c r="AE10" s="218">
        <f t="shared" ref="AE10:AE12" si="13">IF($Z$3=$CE$21,BJ10,IF($Z$3=$CE$27,BJ31,IF($Z$3=$CE$28,BJ42,BJ20)))</f>
        <v>0</v>
      </c>
      <c r="AF10" s="218">
        <f t="shared" ref="AF10:AF12" si="14">IF($Z$3=$CE$21,BK10,IF($Z$3=$CE$27,BK31,IF($Z$3=$CE$28,BK42,BK20)))</f>
        <v>0</v>
      </c>
      <c r="AG10" s="98">
        <f>AU10</f>
        <v>2000</v>
      </c>
      <c r="AH10" s="315">
        <f>(U10*0.2+V10*0.25+X10*0.4+Y10*0.5+AA10*0.6+AC10*0.75+AD10*0.8+AE10)*BT10</f>
        <v>1306.8600000000001</v>
      </c>
      <c r="AI10" s="336">
        <f>U10*U8</f>
        <v>0</v>
      </c>
      <c r="AJ10" s="336">
        <f t="shared" ref="AJ10:AT10" si="15">V10*V8</f>
        <v>0</v>
      </c>
      <c r="AK10" s="336">
        <f t="shared" si="15"/>
        <v>0</v>
      </c>
      <c r="AL10" s="336">
        <f t="shared" si="15"/>
        <v>2000</v>
      </c>
      <c r="AM10" s="336">
        <f t="shared" si="15"/>
        <v>0</v>
      </c>
      <c r="AN10" s="336">
        <f t="shared" si="15"/>
        <v>0</v>
      </c>
      <c r="AO10" s="336">
        <f t="shared" si="15"/>
        <v>0</v>
      </c>
      <c r="AP10" s="336">
        <f t="shared" si="15"/>
        <v>0</v>
      </c>
      <c r="AQ10" s="336">
        <f t="shared" si="15"/>
        <v>0</v>
      </c>
      <c r="AR10" s="336">
        <f t="shared" si="15"/>
        <v>0</v>
      </c>
      <c r="AS10" s="336">
        <f t="shared" si="15"/>
        <v>0</v>
      </c>
      <c r="AT10" s="336">
        <f t="shared" si="15"/>
        <v>0</v>
      </c>
      <c r="AU10" s="336">
        <f>SUM(AI10:AT10)</f>
        <v>2000</v>
      </c>
      <c r="AV10" s="336"/>
      <c r="AW10" s="336"/>
      <c r="AX10" s="288">
        <v>0.47399999999999998</v>
      </c>
      <c r="AY10" s="3">
        <f>AX10*L10*M10/1000</f>
        <v>0.78115199999999996</v>
      </c>
      <c r="AZ10" s="111">
        <f>IF(AND(BL10&gt;0,BL10&lt;=1000),1,0)</f>
        <v>0</v>
      </c>
      <c r="BA10" s="113">
        <v>0</v>
      </c>
      <c r="BB10" s="113">
        <v>0</v>
      </c>
      <c r="BC10" s="111">
        <f>IF(AND(BL10&gt;1000,BL10&lt;=2000),1,0)</f>
        <v>1</v>
      </c>
      <c r="BD10" s="113">
        <v>0</v>
      </c>
      <c r="BE10" s="113">
        <v>0</v>
      </c>
      <c r="BF10" s="111">
        <f>IF(AND(BL10&gt;2000,BL10&lt;=3000),1,0)</f>
        <v>0</v>
      </c>
      <c r="BG10" s="113">
        <v>0</v>
      </c>
      <c r="BH10" s="113">
        <v>0</v>
      </c>
      <c r="BI10" s="111">
        <f>IF(AND(BL10&gt;3000,BL10&lt;=4000),1,0)</f>
        <v>0</v>
      </c>
      <c r="BJ10" s="111">
        <f>IF(AND(BL10&gt;4000,BL10&lt;=4950),BM10+1,BM10)</f>
        <v>0</v>
      </c>
      <c r="BK10" s="113">
        <v>0</v>
      </c>
      <c r="BL10" s="139">
        <f>N10-INT($BC$5/L10)*L10*BM10</f>
        <v>1648</v>
      </c>
      <c r="BM10" s="111">
        <f>INT(M10/INT($BC$5/L10))</f>
        <v>0</v>
      </c>
      <c r="BN10" s="111"/>
      <c r="BO10" s="111"/>
      <c r="BP10" s="111"/>
      <c r="BQ10" s="111" t="s">
        <v>259</v>
      </c>
      <c r="BR10" s="141" t="s">
        <v>260</v>
      </c>
      <c r="BS10" s="121"/>
      <c r="BT10" s="3">
        <f t="array" ref="BT10">INDEX(Цены!J:J,MATCH(J10&amp;$E$7,Цены!C:C&amp;Цены!G:G,0))</f>
        <v>3267.15</v>
      </c>
      <c r="BV10" s="55" t="s">
        <v>12</v>
      </c>
      <c r="CE10" s="1" t="s">
        <v>453</v>
      </c>
    </row>
    <row r="11" spans="2:83" ht="25.05" customHeight="1" x14ac:dyDescent="0.3">
      <c r="B11" s="432" t="s">
        <v>158</v>
      </c>
      <c r="C11" s="433"/>
      <c r="D11" s="433"/>
      <c r="E11" s="487" t="s">
        <v>129</v>
      </c>
      <c r="F11" s="487"/>
      <c r="G11" s="487"/>
      <c r="H11" s="488"/>
      <c r="J11" s="105" t="str">
        <f>E6</f>
        <v>рамка средняя 4в1</v>
      </c>
      <c r="K11" s="181" t="str">
        <f>IF(J11=BY4,BZ4,BZ5)</f>
        <v>FA0716.VP500</v>
      </c>
      <c r="L11" s="98">
        <f>IF(AND(E6=BY5,E5&gt;0),K5-78,IF(AND(E6=BY4,E5&gt;0),K5-76,0))</f>
        <v>0</v>
      </c>
      <c r="M11" s="99">
        <f>E5*E9</f>
        <v>0</v>
      </c>
      <c r="N11" s="98">
        <f>L11*M11</f>
        <v>0</v>
      </c>
      <c r="O11" s="269">
        <f>IF(J11=BY5,BM11+IF(BL11&gt;0,1,0),BP11+IF(BO11&gt;0,1,0))</f>
        <v>0</v>
      </c>
      <c r="P11" s="213"/>
      <c r="Q11" s="213"/>
      <c r="R11" s="204">
        <f>O11*BT11</f>
        <v>0</v>
      </c>
      <c r="S11" s="199"/>
      <c r="T11" s="255" t="str">
        <f>J11</f>
        <v>рамка средняя 4в1</v>
      </c>
      <c r="U11" s="218">
        <f t="shared" si="3"/>
        <v>0</v>
      </c>
      <c r="V11" s="218">
        <f t="shared" si="4"/>
        <v>0</v>
      </c>
      <c r="W11" s="218">
        <f t="shared" si="5"/>
        <v>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8">
        <f t="shared" si="11"/>
        <v>0</v>
      </c>
      <c r="AD11" s="218">
        <f t="shared" si="12"/>
        <v>0</v>
      </c>
      <c r="AE11" s="218">
        <f t="shared" si="13"/>
        <v>0</v>
      </c>
      <c r="AF11" s="218">
        <f t="shared" si="14"/>
        <v>0</v>
      </c>
      <c r="AG11" s="98">
        <f t="shared" ref="AG11:AG12" si="16">AU11</f>
        <v>0</v>
      </c>
      <c r="AH11" s="315">
        <f>IF(E6=BY4,AW12,AV12)</f>
        <v>0</v>
      </c>
      <c r="AI11" s="336">
        <f>U11*U8</f>
        <v>0</v>
      </c>
      <c r="AJ11" s="336">
        <f t="shared" ref="AJ11:AT11" si="17">V11*V8</f>
        <v>0</v>
      </c>
      <c r="AK11" s="336">
        <f t="shared" si="17"/>
        <v>0</v>
      </c>
      <c r="AL11" s="336">
        <f t="shared" si="17"/>
        <v>0</v>
      </c>
      <c r="AM11" s="336">
        <f t="shared" si="17"/>
        <v>0</v>
      </c>
      <c r="AN11" s="336">
        <f t="shared" si="17"/>
        <v>0</v>
      </c>
      <c r="AO11" s="336">
        <f t="shared" si="17"/>
        <v>0</v>
      </c>
      <c r="AP11" s="336">
        <f t="shared" si="17"/>
        <v>0</v>
      </c>
      <c r="AQ11" s="336">
        <f t="shared" si="17"/>
        <v>0</v>
      </c>
      <c r="AR11" s="336">
        <f t="shared" si="17"/>
        <v>0</v>
      </c>
      <c r="AS11" s="336">
        <f t="shared" si="17"/>
        <v>0</v>
      </c>
      <c r="AT11" s="336">
        <f t="shared" si="17"/>
        <v>0</v>
      </c>
      <c r="AU11" s="336">
        <f t="shared" ref="AU11:AU12" si="18">SUM(AI11:AT11)</f>
        <v>0</v>
      </c>
      <c r="AV11" s="111" t="s">
        <v>259</v>
      </c>
      <c r="AW11" s="141" t="s">
        <v>260</v>
      </c>
      <c r="AX11" s="288">
        <v>0.58499999999999996</v>
      </c>
      <c r="AY11" s="3">
        <f>AX11*L11*M11/1000</f>
        <v>0</v>
      </c>
      <c r="AZ11" s="142">
        <f>IF(AND(J11=BY5,BL11&gt;0,BL11&lt;=1000),1,0)</f>
        <v>0</v>
      </c>
      <c r="BA11" s="113">
        <v>0</v>
      </c>
      <c r="BB11" s="143">
        <f>IF(AND(J11=BY4,BO11&gt;0,BO11&lt;=1800),1,0)</f>
        <v>0</v>
      </c>
      <c r="BC11" s="142">
        <f>IF(AND(J11=BY5,BL11&gt;1000,BL11&lt;=2000),1,0)</f>
        <v>0</v>
      </c>
      <c r="BD11" s="113">
        <v>0</v>
      </c>
      <c r="BE11" s="143">
        <f>IF(AND(J11=BY4,BO11&gt;1800,BO11&lt;=2700),1,0)</f>
        <v>0</v>
      </c>
      <c r="BF11" s="142">
        <f>IF(AND(J11=BY5,BL11&gt;2000,BL11&lt;=3000),1,0)</f>
        <v>0</v>
      </c>
      <c r="BG11" s="143">
        <f>IF(AND(J11=BY4,BO11&gt;2700,BO11&lt;=3600),1,0)</f>
        <v>0</v>
      </c>
      <c r="BH11" s="113">
        <v>0</v>
      </c>
      <c r="BI11" s="142">
        <f>IF(AND(J11=BY5,BL11&gt;3000,BL11&lt;=4000),1,0)</f>
        <v>0</v>
      </c>
      <c r="BJ11" s="142">
        <f>IF(AND(J11=BY5,BL11&gt;4000,BL11&lt;=4950),BM11+1,BM11)</f>
        <v>0</v>
      </c>
      <c r="BK11" s="143">
        <f>IF(AND(J11=BY4,BO11&gt;3600,BO11&lt;=5350),BP11+1,BP11)</f>
        <v>0</v>
      </c>
      <c r="BL11" s="139">
        <f>IF(E5&lt;&gt;0,N11-INT(BC5/L11)*L11*BM11,0)</f>
        <v>0</v>
      </c>
      <c r="BM11" s="111">
        <f>IF(AND(E6=BY5,E5&lt;&gt;0),INT(M11/INT(BC5/L11)),0)</f>
        <v>0</v>
      </c>
      <c r="BN11" s="111"/>
      <c r="BO11" s="111">
        <f>IF(E5&lt;&gt;0,N11-INT(BC5/L11)*L11*BP11,0)</f>
        <v>0</v>
      </c>
      <c r="BP11" s="111">
        <f>IF(AND(E6=BY5,E5&lt;&gt;0),INT(M11/INT(BC5/L11)),0)</f>
        <v>0</v>
      </c>
      <c r="BQ11" s="111">
        <f>(U11*0.2+X11*0.4+AA11*0.6+AD11*0.8+AE11)*BT11</f>
        <v>0</v>
      </c>
      <c r="BR11" s="111">
        <f>(W11*0.34+Z11*0.5+AB11*0.67+AF11)*BT11</f>
        <v>0</v>
      </c>
      <c r="BS11" s="3"/>
      <c r="BT11" s="3">
        <f t="array" ref="BT11">INDEX(Цены!J:J,MATCH(J11&amp;$E$7,Цены!C:C&amp;Цены!G:G,0))</f>
        <v>3828.23</v>
      </c>
      <c r="CE11" s="1" t="s">
        <v>454</v>
      </c>
    </row>
    <row r="12" spans="2:83" ht="25.05" customHeight="1" thickBot="1" x14ac:dyDescent="0.4">
      <c r="B12" s="505" t="s">
        <v>170</v>
      </c>
      <c r="C12" s="506"/>
      <c r="D12" s="506"/>
      <c r="E12" s="519">
        <v>0</v>
      </c>
      <c r="F12" s="519"/>
      <c r="G12" s="519"/>
      <c r="H12" s="520"/>
      <c r="J12" s="18" t="s">
        <v>17</v>
      </c>
      <c r="K12" s="181" t="s">
        <v>199</v>
      </c>
      <c r="L12" s="98">
        <f>E13</f>
        <v>540</v>
      </c>
      <c r="M12" s="99">
        <f>E9</f>
        <v>2</v>
      </c>
      <c r="N12" s="98">
        <f>L12*M12</f>
        <v>1080</v>
      </c>
      <c r="O12" s="269">
        <f>CEILING((L12*M12)/5400,1)</f>
        <v>1</v>
      </c>
      <c r="P12" s="213"/>
      <c r="Q12" s="213"/>
      <c r="R12" s="204">
        <f>O12*BT12</f>
        <v>1331.09</v>
      </c>
      <c r="S12" s="199"/>
      <c r="T12" s="255" t="str">
        <f>J12</f>
        <v>ручка-рейлинг</v>
      </c>
      <c r="U12" s="218">
        <f t="shared" si="3"/>
        <v>0</v>
      </c>
      <c r="V12" s="218">
        <f t="shared" si="4"/>
        <v>0</v>
      </c>
      <c r="W12" s="218">
        <f t="shared" si="5"/>
        <v>0</v>
      </c>
      <c r="X12" s="218">
        <f t="shared" si="6"/>
        <v>0</v>
      </c>
      <c r="Y12" s="218">
        <f t="shared" si="7"/>
        <v>0</v>
      </c>
      <c r="Z12" s="218">
        <f t="shared" si="8"/>
        <v>1</v>
      </c>
      <c r="AA12" s="218">
        <f t="shared" si="9"/>
        <v>0</v>
      </c>
      <c r="AB12" s="218">
        <f t="shared" si="10"/>
        <v>0</v>
      </c>
      <c r="AC12" s="218">
        <f t="shared" si="11"/>
        <v>0</v>
      </c>
      <c r="AD12" s="218">
        <f t="shared" si="12"/>
        <v>0</v>
      </c>
      <c r="AE12" s="218">
        <f t="shared" si="13"/>
        <v>0</v>
      </c>
      <c r="AF12" s="218">
        <f t="shared" si="14"/>
        <v>0</v>
      </c>
      <c r="AG12" s="98">
        <f t="shared" si="16"/>
        <v>2700</v>
      </c>
      <c r="AH12" s="285">
        <f>(Z12*0.5+AF12)*BT12</f>
        <v>665.54499999999996</v>
      </c>
      <c r="AI12" s="336">
        <f>U12*U8</f>
        <v>0</v>
      </c>
      <c r="AJ12" s="336">
        <f t="shared" ref="AJ12:AT12" si="19">V12*V8</f>
        <v>0</v>
      </c>
      <c r="AK12" s="336">
        <f t="shared" si="19"/>
        <v>0</v>
      </c>
      <c r="AL12" s="336">
        <f t="shared" si="19"/>
        <v>0</v>
      </c>
      <c r="AM12" s="336">
        <f t="shared" si="19"/>
        <v>0</v>
      </c>
      <c r="AN12" s="336">
        <f t="shared" si="19"/>
        <v>2700</v>
      </c>
      <c r="AO12" s="336">
        <f t="shared" si="19"/>
        <v>0</v>
      </c>
      <c r="AP12" s="336">
        <f t="shared" si="19"/>
        <v>0</v>
      </c>
      <c r="AQ12" s="336">
        <f t="shared" si="19"/>
        <v>0</v>
      </c>
      <c r="AR12" s="336">
        <f t="shared" si="19"/>
        <v>0</v>
      </c>
      <c r="AS12" s="336">
        <f t="shared" si="19"/>
        <v>0</v>
      </c>
      <c r="AT12" s="336">
        <f t="shared" si="19"/>
        <v>0</v>
      </c>
      <c r="AU12" s="336">
        <f t="shared" si="18"/>
        <v>2700</v>
      </c>
      <c r="AV12" s="200">
        <f>(U11*0.2+V11*0.25+X11*0.4+Y11*0.5+AA11*0.6+AC11*0.75+AD11*0.8+AE11)*BT11</f>
        <v>0</v>
      </c>
      <c r="AW12" s="200">
        <f>(W11*0.34+Z11*0.5+AB11*0.67+AF11)*BT11</f>
        <v>0</v>
      </c>
      <c r="AX12" s="289">
        <v>0.33600000000000002</v>
      </c>
      <c r="AY12" s="3">
        <f>AX12*L11*M11/1000</f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11">
        <f>IF(AND(BO12&gt;0,BO12&lt;=2700),1,0)</f>
        <v>1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11">
        <f>IF(AND(BO12&gt;2700,BO12&lt;=5350),BP12+1,BP12)</f>
        <v>0</v>
      </c>
      <c r="BL12" s="139"/>
      <c r="BM12" s="111"/>
      <c r="BN12" s="139"/>
      <c r="BO12" s="139">
        <f>N12-BC7*BM12</f>
        <v>1080</v>
      </c>
      <c r="BP12" s="139">
        <f>INT(N12/BC7)</f>
        <v>0</v>
      </c>
      <c r="BQ12" s="139"/>
      <c r="BR12" s="139"/>
      <c r="BT12" s="3">
        <f t="array" ref="BT12">IFERROR(INDEX(Цены!J:J,MATCH(J12&amp;$E$7,Цены!C:C&amp;Цены!G:G,0)),Цены!J38)</f>
        <v>1331.09</v>
      </c>
    </row>
    <row r="13" spans="2:83" ht="25.05" customHeight="1" thickBot="1" x14ac:dyDescent="0.35">
      <c r="B13" s="505" t="s">
        <v>171</v>
      </c>
      <c r="C13" s="506"/>
      <c r="D13" s="506"/>
      <c r="E13" s="521">
        <v>540</v>
      </c>
      <c r="F13" s="521"/>
      <c r="G13" s="521"/>
      <c r="H13" s="522"/>
      <c r="J13" s="208"/>
      <c r="K13" s="209"/>
      <c r="L13" s="209"/>
      <c r="M13" s="209"/>
      <c r="N13" s="209"/>
      <c r="O13" s="210"/>
      <c r="P13" s="189"/>
      <c r="Q13" s="189"/>
      <c r="R13" s="106">
        <f>SUM(R9:R12)</f>
        <v>15420.199999999999</v>
      </c>
      <c r="S13" s="217"/>
      <c r="T13" s="284"/>
      <c r="U13" s="515" t="s">
        <v>103</v>
      </c>
      <c r="V13" s="515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3"/>
      <c r="AH13" s="106">
        <f>SUM(AH9:AH12)</f>
        <v>12794.365</v>
      </c>
      <c r="AI13" s="346"/>
      <c r="AJ13" s="346"/>
      <c r="AK13" s="346"/>
      <c r="AL13" s="346"/>
      <c r="AM13" s="346"/>
      <c r="AN13" s="350"/>
      <c r="AO13" s="346"/>
      <c r="AP13" s="346"/>
      <c r="AQ13" s="346"/>
      <c r="AR13" s="346"/>
      <c r="AS13" s="346"/>
      <c r="AT13" s="346"/>
      <c r="AU13" s="346"/>
      <c r="AV13" s="346"/>
      <c r="AW13" s="346"/>
      <c r="AX13" s="292">
        <v>0.16900000000000001</v>
      </c>
      <c r="AY13" s="3">
        <f>AX13*L12*M12/1000</f>
        <v>0.18252000000000002</v>
      </c>
      <c r="BE13" s="186" t="s">
        <v>424</v>
      </c>
      <c r="BT13" s="3"/>
    </row>
    <row r="14" spans="2:83" ht="25.05" customHeight="1" thickBot="1" x14ac:dyDescent="0.35">
      <c r="B14" s="507" t="s">
        <v>176</v>
      </c>
      <c r="C14" s="508"/>
      <c r="D14" s="508"/>
      <c r="E14" s="459" t="s">
        <v>99</v>
      </c>
      <c r="F14" s="459"/>
      <c r="G14" s="459"/>
      <c r="H14" s="460"/>
      <c r="J14" s="9"/>
      <c r="O14" s="8"/>
      <c r="S14" s="219"/>
      <c r="AI14" s="336"/>
      <c r="AJ14" s="336"/>
      <c r="AK14" s="336"/>
      <c r="AL14" s="336"/>
      <c r="AM14" s="336"/>
      <c r="AN14" s="350"/>
      <c r="AO14" s="336"/>
      <c r="AP14" s="336"/>
      <c r="AQ14" s="336"/>
      <c r="AR14" s="336"/>
      <c r="AS14" s="336"/>
      <c r="AT14" s="336"/>
      <c r="AU14" s="336"/>
      <c r="AV14" s="336"/>
      <c r="AW14" s="336"/>
      <c r="AY14" s="1">
        <f>IF(E6=BY4,AY9+AY10+AY12+AY13,AY9+AY10+AY11+AY13)</f>
        <v>8.0844719999999981</v>
      </c>
      <c r="BT14" s="3"/>
    </row>
    <row r="15" spans="2:83" ht="25.05" customHeight="1" thickBot="1" x14ac:dyDescent="0.35">
      <c r="J15" s="319"/>
      <c r="K15" s="259"/>
      <c r="L15" s="259"/>
      <c r="M15" s="259"/>
      <c r="N15" s="259"/>
      <c r="O15" s="40"/>
      <c r="P15" s="259"/>
      <c r="Q15" s="259"/>
      <c r="R15" s="221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518" t="s">
        <v>102</v>
      </c>
      <c r="AD15" s="518"/>
      <c r="AE15" s="518"/>
      <c r="AF15" s="518"/>
      <c r="AG15" s="518"/>
      <c r="AH15" s="207">
        <f>AH13+R36+H27</f>
        <v>21052.745000000003</v>
      </c>
      <c r="AI15" s="334"/>
      <c r="AJ15" s="334"/>
      <c r="AK15" s="334"/>
      <c r="AL15" s="334"/>
      <c r="AM15" s="334"/>
      <c r="AN15" s="350"/>
      <c r="AO15" s="334"/>
      <c r="AP15" s="334"/>
      <c r="AQ15" s="334"/>
      <c r="AR15" s="334"/>
      <c r="AS15" s="334"/>
      <c r="AT15" s="334"/>
      <c r="AU15" s="334"/>
      <c r="AV15" s="334"/>
      <c r="AW15" s="334"/>
      <c r="AX15" s="3"/>
      <c r="AY15" s="229">
        <f>AY14/E9</f>
        <v>4.0422359999999991</v>
      </c>
      <c r="AZ15" s="111" t="s">
        <v>256</v>
      </c>
      <c r="BA15" s="111"/>
      <c r="BB15" s="111"/>
      <c r="BC15" s="139">
        <v>5000</v>
      </c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T15" s="3"/>
      <c r="BV15" s="39">
        <v>0</v>
      </c>
    </row>
    <row r="16" spans="2:83" ht="25.05" customHeight="1" thickBot="1" x14ac:dyDescent="0.35">
      <c r="J16" s="87"/>
      <c r="K16" s="6"/>
      <c r="L16" s="6"/>
      <c r="O16" s="45"/>
      <c r="P16" s="6"/>
      <c r="Q16" s="6"/>
      <c r="R16" s="6"/>
      <c r="S16" s="6"/>
      <c r="T16" s="248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Z16" s="111" t="s">
        <v>257</v>
      </c>
      <c r="BA16" s="111"/>
      <c r="BB16" s="111"/>
      <c r="BC16" s="111">
        <v>5075</v>
      </c>
      <c r="BD16" s="139"/>
      <c r="BE16" s="111"/>
      <c r="BF16" s="111"/>
      <c r="BG16" s="111"/>
      <c r="BH16" s="111"/>
      <c r="BI16" s="111"/>
      <c r="BJ16" s="111"/>
      <c r="BK16" s="111"/>
      <c r="BL16" s="111"/>
      <c r="BM16" s="139"/>
      <c r="BN16" s="139"/>
      <c r="BO16" s="139"/>
      <c r="BP16" s="139"/>
      <c r="BQ16" s="139"/>
      <c r="BR16" s="139"/>
      <c r="BV16" s="39">
        <v>1</v>
      </c>
    </row>
    <row r="17" spans="2:83" ht="25.05" customHeight="1" thickBot="1" x14ac:dyDescent="0.35">
      <c r="B17" s="48"/>
      <c r="C17" s="49"/>
      <c r="D17" s="49"/>
      <c r="E17" s="49"/>
      <c r="F17" s="49"/>
      <c r="G17" s="49"/>
      <c r="H17" s="50"/>
      <c r="I17" s="66"/>
      <c r="J17" s="496" t="s">
        <v>180</v>
      </c>
      <c r="K17" s="446"/>
      <c r="L17" s="446"/>
      <c r="M17" s="259"/>
      <c r="O17" s="8"/>
      <c r="R17" s="222"/>
      <c r="S17" s="14"/>
      <c r="T17" s="249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Z17" s="139" t="s">
        <v>258</v>
      </c>
      <c r="BA17" s="139"/>
      <c r="BB17" s="139"/>
      <c r="BC17" s="111">
        <v>5400</v>
      </c>
      <c r="BD17" s="139"/>
      <c r="BE17" s="111"/>
      <c r="BF17" s="111"/>
      <c r="BG17" s="111"/>
      <c r="BH17" s="111"/>
      <c r="BI17" s="111"/>
      <c r="BJ17" s="111"/>
      <c r="BK17" s="111"/>
      <c r="BL17" s="111"/>
      <c r="BM17" s="139"/>
      <c r="BN17" s="139"/>
      <c r="BO17" s="139"/>
      <c r="BP17" s="139"/>
      <c r="BQ17" s="139"/>
      <c r="BR17" s="139"/>
      <c r="BV17" s="39">
        <v>2</v>
      </c>
    </row>
    <row r="18" spans="2:83" ht="25.05" customHeight="1" thickBot="1" x14ac:dyDescent="0.4">
      <c r="B18" s="51" t="s">
        <v>107</v>
      </c>
      <c r="C18" s="52">
        <f>E5+1</f>
        <v>1</v>
      </c>
      <c r="D18" s="82"/>
      <c r="E18" s="82"/>
      <c r="F18" s="82"/>
      <c r="G18" s="82"/>
      <c r="H18" s="54"/>
      <c r="I18" s="66"/>
      <c r="J18" s="442" t="s">
        <v>0</v>
      </c>
      <c r="K18" s="443"/>
      <c r="L18" s="443"/>
      <c r="M18" s="443"/>
      <c r="N18" s="309" t="s">
        <v>1</v>
      </c>
      <c r="O18" s="184" t="s">
        <v>8</v>
      </c>
      <c r="P18" s="110"/>
      <c r="Q18" s="110"/>
      <c r="R18" s="205" t="s">
        <v>24</v>
      </c>
      <c r="S18" s="110"/>
      <c r="T18" s="90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9"/>
      <c r="AH18" s="241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Z18" s="81">
        <v>1000</v>
      </c>
      <c r="BA18" s="81">
        <v>1250</v>
      </c>
      <c r="BB18" s="81">
        <v>1800</v>
      </c>
      <c r="BC18" s="81">
        <v>2000</v>
      </c>
      <c r="BD18" s="81">
        <v>2500</v>
      </c>
      <c r="BE18" s="81">
        <v>2700</v>
      </c>
      <c r="BF18" s="81">
        <v>3000</v>
      </c>
      <c r="BG18" s="81">
        <v>3600</v>
      </c>
      <c r="BH18" s="81">
        <v>3750</v>
      </c>
      <c r="BI18" s="81">
        <v>4000</v>
      </c>
      <c r="BJ18" s="81">
        <v>5000</v>
      </c>
      <c r="BK18" s="112">
        <v>5400</v>
      </c>
      <c r="BL18" s="140"/>
      <c r="BM18" s="139"/>
      <c r="BN18" s="139"/>
      <c r="BO18" s="139"/>
      <c r="BP18" s="139"/>
      <c r="BQ18" s="139"/>
      <c r="BR18" s="139"/>
      <c r="BV18" s="39">
        <v>3</v>
      </c>
    </row>
    <row r="19" spans="2:83" ht="25.05" customHeight="1" x14ac:dyDescent="0.3">
      <c r="B19" s="56"/>
      <c r="C19" s="57"/>
      <c r="D19" s="57"/>
      <c r="E19" s="57"/>
      <c r="F19" s="57"/>
      <c r="G19" s="57"/>
      <c r="H19" s="58"/>
      <c r="J19" s="511" t="s">
        <v>52</v>
      </c>
      <c r="K19" s="512"/>
      <c r="L19" s="512"/>
      <c r="M19" s="512"/>
      <c r="N19" s="181" t="s">
        <v>200</v>
      </c>
      <c r="O19" s="224">
        <f>IF(E8=BV59,E9,0)</f>
        <v>0</v>
      </c>
      <c r="P19" s="214"/>
      <c r="Q19" s="214"/>
      <c r="R19" s="227">
        <f>O19*Цены!J123</f>
        <v>0</v>
      </c>
      <c r="S19" s="216"/>
      <c r="T19" s="245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217"/>
      <c r="AH19" s="217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Z19" s="111">
        <v>0</v>
      </c>
      <c r="BA19" s="111">
        <v>0</v>
      </c>
      <c r="BB19" s="111">
        <v>0</v>
      </c>
      <c r="BC19" s="111">
        <v>0</v>
      </c>
      <c r="BD19" s="111">
        <v>0</v>
      </c>
      <c r="BE19" s="111">
        <v>0</v>
      </c>
      <c r="BF19" s="111">
        <v>0</v>
      </c>
      <c r="BG19" s="111">
        <v>0</v>
      </c>
      <c r="BH19" s="111">
        <v>0</v>
      </c>
      <c r="BI19" s="111">
        <v>0</v>
      </c>
      <c r="BJ19" s="111">
        <v>0</v>
      </c>
      <c r="BK19" s="250">
        <f>BK9</f>
        <v>2</v>
      </c>
      <c r="BL19" s="139"/>
      <c r="BM19" s="111"/>
      <c r="BN19" s="111"/>
      <c r="BO19" s="111"/>
      <c r="BP19" s="111"/>
      <c r="BQ19" s="111"/>
      <c r="BR19" s="111"/>
      <c r="BS19" s="3"/>
      <c r="BT19" s="3"/>
      <c r="BV19" s="39">
        <v>4</v>
      </c>
    </row>
    <row r="20" spans="2:83" ht="25.05" customHeight="1" x14ac:dyDescent="0.3">
      <c r="B20" s="56"/>
      <c r="C20" s="57"/>
      <c r="D20" s="57"/>
      <c r="E20" s="57"/>
      <c r="F20" s="57"/>
      <c r="G20" s="57"/>
      <c r="H20" s="58"/>
      <c r="J20" s="511" t="s">
        <v>71</v>
      </c>
      <c r="K20" s="512"/>
      <c r="L20" s="512"/>
      <c r="M20" s="512"/>
      <c r="N20" s="181" t="s">
        <v>201</v>
      </c>
      <c r="O20" s="224">
        <f>IF(E10=BV33,E9,0)</f>
        <v>0</v>
      </c>
      <c r="P20" s="214"/>
      <c r="Q20" s="214"/>
      <c r="R20" s="227">
        <f>O20*Цены!J158</f>
        <v>0</v>
      </c>
      <c r="S20" s="216"/>
      <c r="T20" s="245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328"/>
      <c r="AH20" s="32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Z20" s="113">
        <v>0</v>
      </c>
      <c r="BA20" s="111">
        <f>IF(AND(BL20&gt;0,BL20&lt;=1250),1,0)</f>
        <v>0</v>
      </c>
      <c r="BB20" s="113">
        <v>0</v>
      </c>
      <c r="BC20" s="113">
        <v>0</v>
      </c>
      <c r="BD20" s="111">
        <f>IF(AND(BL20&gt;1250,BL20&lt;=2500),1,0)</f>
        <v>1</v>
      </c>
      <c r="BE20" s="113">
        <v>0</v>
      </c>
      <c r="BF20" s="113">
        <v>0</v>
      </c>
      <c r="BG20" s="113">
        <v>0</v>
      </c>
      <c r="BH20" s="111">
        <f>IF(AND(BL20&gt;2500,BL20&lt;=3750),1,0)</f>
        <v>0</v>
      </c>
      <c r="BI20" s="113">
        <v>0</v>
      </c>
      <c r="BJ20" s="111">
        <f>IF(AND(BL20&gt;4000,BL20&lt;=4950),BM20+1,BM20)</f>
        <v>0</v>
      </c>
      <c r="BK20" s="113">
        <v>0</v>
      </c>
      <c r="BL20" s="139">
        <f>BL10</f>
        <v>1648</v>
      </c>
      <c r="BM20" s="139">
        <f>BM10</f>
        <v>0</v>
      </c>
      <c r="BN20" s="111"/>
      <c r="BO20" s="111"/>
      <c r="BP20" s="111"/>
      <c r="BQ20" s="111" t="s">
        <v>259</v>
      </c>
      <c r="BR20" s="141" t="s">
        <v>260</v>
      </c>
      <c r="BS20" s="121"/>
      <c r="BT20" s="121"/>
    </row>
    <row r="21" spans="2:83" ht="25.05" customHeight="1" x14ac:dyDescent="0.3">
      <c r="B21" s="59" t="s">
        <v>108</v>
      </c>
      <c r="C21" s="262" t="s">
        <v>109</v>
      </c>
      <c r="D21" s="60" t="s">
        <v>78</v>
      </c>
      <c r="E21" s="262" t="s">
        <v>110</v>
      </c>
      <c r="F21" s="262" t="s">
        <v>111</v>
      </c>
      <c r="G21" s="262" t="s">
        <v>127</v>
      </c>
      <c r="H21" s="61" t="s">
        <v>128</v>
      </c>
      <c r="J21" s="412" t="s">
        <v>147</v>
      </c>
      <c r="K21" s="413"/>
      <c r="L21" s="413"/>
      <c r="M21" s="413"/>
      <c r="N21" s="181" t="s">
        <v>203</v>
      </c>
      <c r="O21" s="269">
        <f>IF(E10=BV34,E9,0)</f>
        <v>0</v>
      </c>
      <c r="P21" s="193"/>
      <c r="Q21" s="193"/>
      <c r="R21" s="227">
        <f>O21*Цены!J176</f>
        <v>0</v>
      </c>
      <c r="S21" s="216"/>
      <c r="T21" s="245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328"/>
      <c r="AH21" s="32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Z21" s="113">
        <v>0</v>
      </c>
      <c r="BA21" s="142">
        <f>IF(AND(J11=BY5,BL21&gt;0,BL21&lt;=1250),1,0)</f>
        <v>0</v>
      </c>
      <c r="BB21" s="143">
        <f>IF(AND(J11=BY4,BO21&gt;0,BO21&lt;=1800),1,0)</f>
        <v>0</v>
      </c>
      <c r="BC21" s="113">
        <v>0</v>
      </c>
      <c r="BD21" s="142">
        <f>IF(AND(J11=BY5,BL21&gt;1250,BL21&lt;=2500),1,0)</f>
        <v>0</v>
      </c>
      <c r="BE21" s="143">
        <f>IF(AND(J11=BY4,BO21&gt;1800,BO21&lt;=2700),1,0)</f>
        <v>0</v>
      </c>
      <c r="BF21" s="113">
        <v>0</v>
      </c>
      <c r="BG21" s="143">
        <f>IF(AND(J11=BY4,BO21&gt;2700,BO21&lt;=3600),1,0)</f>
        <v>0</v>
      </c>
      <c r="BH21" s="142">
        <f>IF(AND(J11=BY5,BL21&gt;2500,BL21&lt;=3750),1,0)</f>
        <v>0</v>
      </c>
      <c r="BI21" s="113">
        <v>0</v>
      </c>
      <c r="BJ21" s="142">
        <f>IF(AND(J11=BY5,BL21&gt;4000,BL21&lt;=4950),BM21+1,BM21)</f>
        <v>0</v>
      </c>
      <c r="BK21" s="143">
        <f>IF(AND(J11=BY4,BO21&gt;3600,BO21&lt;=5350),BP21+1,BP21)</f>
        <v>0</v>
      </c>
      <c r="BL21" s="139">
        <f>BL11</f>
        <v>0</v>
      </c>
      <c r="BM21" s="139">
        <f>BM11</f>
        <v>0</v>
      </c>
      <c r="BN21" s="139"/>
      <c r="BO21" s="139">
        <f>BO11</f>
        <v>0</v>
      </c>
      <c r="BP21" s="139">
        <f>BP11</f>
        <v>0</v>
      </c>
      <c r="BQ21" s="111">
        <f>(V21*0.25+Y21*0.5+AC21*0.75+AE21)*BT11</f>
        <v>0</v>
      </c>
      <c r="BR21" s="111">
        <f>(W21*0.34+Z21*0.5+AB21*0.67+AF21)*BT11</f>
        <v>0</v>
      </c>
      <c r="BS21" s="3"/>
      <c r="BT21" s="3"/>
      <c r="BV21" s="57" t="s">
        <v>118</v>
      </c>
      <c r="CE21" s="1" t="s">
        <v>418</v>
      </c>
    </row>
    <row r="22" spans="2:83" ht="25.05" customHeight="1" x14ac:dyDescent="0.3">
      <c r="B22" s="62" t="s">
        <v>112</v>
      </c>
      <c r="C22" s="11" t="s">
        <v>12</v>
      </c>
      <c r="D22" s="80">
        <v>0</v>
      </c>
      <c r="E22" s="12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63">
        <f>IF(C22=$BV$10,$K$5-63,IF(C22=$BV$9,$K$5-62,$K$5-60))</f>
        <v>427</v>
      </c>
      <c r="G22" s="64">
        <f>$E$9</f>
        <v>2</v>
      </c>
      <c r="H22" s="65">
        <f>E22*F22*D22*G22/1000000</f>
        <v>0</v>
      </c>
      <c r="J22" s="412" t="s">
        <v>149</v>
      </c>
      <c r="K22" s="413"/>
      <c r="L22" s="413"/>
      <c r="M22" s="413"/>
      <c r="N22" s="181" t="s">
        <v>202</v>
      </c>
      <c r="O22" s="269">
        <f>IF(E10=BV35,E9,0)</f>
        <v>2</v>
      </c>
      <c r="P22" s="193"/>
      <c r="Q22" s="193"/>
      <c r="R22" s="227">
        <f>O22*Цены!J177</f>
        <v>166.4</v>
      </c>
      <c r="S22" s="216"/>
      <c r="T22" s="245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328"/>
      <c r="AH22" s="32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11">
        <f>IF(AND(BO22&gt;0,BO22&lt;=2700),1,0)</f>
        <v>1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11">
        <f>IF(AND(BO22&gt;2700,BO22&lt;=5350),BP22+1,BP22)</f>
        <v>0</v>
      </c>
      <c r="BL22" s="139"/>
      <c r="BM22" s="139"/>
      <c r="BN22" s="139"/>
      <c r="BO22" s="139">
        <f>BO12</f>
        <v>1080</v>
      </c>
      <c r="BP22" s="139">
        <f>BP12</f>
        <v>0</v>
      </c>
      <c r="BQ22" s="139"/>
      <c r="BR22" s="139"/>
      <c r="BV22" s="57" t="s">
        <v>119</v>
      </c>
      <c r="BZ22" s="239">
        <f>IF(E22&lt;&gt;0,1,0)</f>
        <v>1</v>
      </c>
      <c r="CE22" s="1" t="s">
        <v>423</v>
      </c>
    </row>
    <row r="23" spans="2:83" ht="25.05" customHeight="1" x14ac:dyDescent="0.3">
      <c r="B23" s="62" t="s">
        <v>113</v>
      </c>
      <c r="C23" s="11" t="s">
        <v>10</v>
      </c>
      <c r="D23" s="80">
        <v>0</v>
      </c>
      <c r="E23" s="13">
        <v>0</v>
      </c>
      <c r="F23" s="63">
        <f>IF(C23=$BV$10,$K$5-63,IF(C23=$BV$9,$K$5-62,$K$5-60))</f>
        <v>430</v>
      </c>
      <c r="G23" s="64">
        <f>IF(E23&lt;&gt;0,$E$9,0)</f>
        <v>0</v>
      </c>
      <c r="H23" s="65">
        <f t="shared" ref="H23:H26" si="20">E23*F23*D23*G23/1000000</f>
        <v>0</v>
      </c>
      <c r="J23" s="511" t="s">
        <v>40</v>
      </c>
      <c r="K23" s="512"/>
      <c r="L23" s="512"/>
      <c r="M23" s="512"/>
      <c r="N23" s="181" t="s">
        <v>204</v>
      </c>
      <c r="O23" s="177">
        <f>IF(E13&lt;500,2*E9,E9*ROUNDDOWN((E13/500+1),0))</f>
        <v>4</v>
      </c>
      <c r="P23" s="194"/>
      <c r="Q23" s="194"/>
      <c r="R23" s="227">
        <f>O23*Цены!J102</f>
        <v>1785.48</v>
      </c>
      <c r="S23" s="216"/>
      <c r="T23" s="216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219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BZ23" s="239">
        <f>IF(E23&lt;&gt;0,1,0)</f>
        <v>0</v>
      </c>
      <c r="CE23" s="1" t="s">
        <v>420</v>
      </c>
    </row>
    <row r="24" spans="2:83" ht="25.05" customHeight="1" x14ac:dyDescent="0.3">
      <c r="B24" s="62" t="s">
        <v>114</v>
      </c>
      <c r="C24" s="11" t="s">
        <v>10</v>
      </c>
      <c r="D24" s="80">
        <v>0</v>
      </c>
      <c r="E24" s="13">
        <v>0</v>
      </c>
      <c r="F24" s="63">
        <f>IF(C24=$BV$10,$K$5-63,IF(C24=$BV$9,$K$5-62,$K$5-60))</f>
        <v>430</v>
      </c>
      <c r="G24" s="64">
        <f>IF(E24&lt;&gt;0,$E$9,0)</f>
        <v>0</v>
      </c>
      <c r="H24" s="65">
        <f t="shared" si="20"/>
        <v>0</v>
      </c>
      <c r="J24" s="511" t="s">
        <v>44</v>
      </c>
      <c r="K24" s="512"/>
      <c r="L24" s="512"/>
      <c r="M24" s="512"/>
      <c r="N24" s="181" t="s">
        <v>205</v>
      </c>
      <c r="O24" s="224">
        <f>E9</f>
        <v>2</v>
      </c>
      <c r="P24" s="214"/>
      <c r="Q24" s="214"/>
      <c r="R24" s="227">
        <f>O24*Цены!J106</f>
        <v>186.38</v>
      </c>
      <c r="S24" s="216"/>
      <c r="BE24" s="186" t="s">
        <v>517</v>
      </c>
      <c r="BZ24" s="239">
        <f>IF(E24&lt;&gt;0,1,0)</f>
        <v>0</v>
      </c>
      <c r="CE24" s="1" t="s">
        <v>421</v>
      </c>
    </row>
    <row r="25" spans="2:83" ht="25.05" customHeight="1" x14ac:dyDescent="0.3">
      <c r="B25" s="62" t="s">
        <v>115</v>
      </c>
      <c r="C25" s="11" t="s">
        <v>12</v>
      </c>
      <c r="D25" s="80">
        <v>0</v>
      </c>
      <c r="E25" s="13">
        <v>0</v>
      </c>
      <c r="F25" s="63">
        <f>IF(C25=$BV$10,$K$5-63,IF(C25=$BV$9,$K$5-62,$K$5-60))</f>
        <v>427</v>
      </c>
      <c r="G25" s="64">
        <f>IF(E25&lt;&gt;0,$E$9,0)</f>
        <v>0</v>
      </c>
      <c r="H25" s="65">
        <f t="shared" si="20"/>
        <v>0</v>
      </c>
      <c r="J25" s="412" t="s">
        <v>222</v>
      </c>
      <c r="K25" s="413"/>
      <c r="L25" s="413"/>
      <c r="M25" s="413"/>
      <c r="N25" s="182" t="s">
        <v>192</v>
      </c>
      <c r="O25" s="177">
        <f>M10*2+M11*2</f>
        <v>8</v>
      </c>
      <c r="P25" s="194"/>
      <c r="Q25" s="194"/>
      <c r="R25" s="227">
        <f>O25*Цены!J186</f>
        <v>83.2</v>
      </c>
      <c r="S25" s="216"/>
      <c r="T25" s="216"/>
      <c r="X25" s="67"/>
      <c r="Y25" s="67"/>
      <c r="Z25" s="67"/>
      <c r="AA25" s="67"/>
      <c r="AB25" s="67"/>
      <c r="AC25" s="67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BV25" s="1" t="s">
        <v>80</v>
      </c>
      <c r="BZ25" s="239">
        <f>IF(E25&lt;&gt;0,1,0)</f>
        <v>0</v>
      </c>
      <c r="CE25" s="1" t="s">
        <v>422</v>
      </c>
    </row>
    <row r="26" spans="2:83" ht="25.05" customHeight="1" thickBot="1" x14ac:dyDescent="0.35">
      <c r="B26" s="68" t="s">
        <v>116</v>
      </c>
      <c r="C26" s="11" t="s">
        <v>12</v>
      </c>
      <c r="D26" s="80">
        <v>0</v>
      </c>
      <c r="E26" s="13">
        <v>0</v>
      </c>
      <c r="F26" s="63">
        <f>IF(C26=$BV$10,$K$5-63,IF(C26=$BV$9,$K$5-62,$K$5-60))</f>
        <v>427</v>
      </c>
      <c r="G26" s="64">
        <f>IF(E26&lt;&gt;0,$E$9,0)</f>
        <v>0</v>
      </c>
      <c r="H26" s="104">
        <f t="shared" si="20"/>
        <v>0</v>
      </c>
      <c r="J26" s="511" t="s">
        <v>82</v>
      </c>
      <c r="K26" s="512"/>
      <c r="L26" s="512"/>
      <c r="M26" s="512"/>
      <c r="N26" s="182" t="s">
        <v>255</v>
      </c>
      <c r="O26" s="237">
        <f>ROUNDUP((IF(C22=BV9,(E22+F22)*2*G22,0)+IF(C23=BV9,(E23+F23)*2*G23,0)+IF(C24=BV9,(E24+F24)*2*G24,0)+IF(C25=BV9,(E25+F25)*2*G25,0)+IF(C26=BV9,(E26+F26)*2*G26,0))/1000,0)</f>
        <v>0</v>
      </c>
      <c r="P26" s="236"/>
      <c r="Q26" s="236"/>
      <c r="R26" s="227">
        <f>O26*Цены!J179</f>
        <v>0</v>
      </c>
      <c r="S26" s="216"/>
      <c r="T26" s="216"/>
      <c r="V26" s="257"/>
      <c r="W26" s="257"/>
      <c r="X26" s="257"/>
      <c r="Y26" s="257"/>
      <c r="Z26" s="257"/>
      <c r="AA26" s="257"/>
      <c r="AB26" s="257"/>
      <c r="AZ26" s="111" t="s">
        <v>256</v>
      </c>
      <c r="BA26" s="111"/>
      <c r="BB26" s="111"/>
      <c r="BC26" s="139">
        <v>5000</v>
      </c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V26" s="16" t="s">
        <v>159</v>
      </c>
      <c r="BZ26" s="239">
        <f>IF(E26&lt;&gt;0,1,0)</f>
        <v>0</v>
      </c>
      <c r="CE26" s="1" t="s">
        <v>419</v>
      </c>
    </row>
    <row r="27" spans="2:83" ht="25.05" customHeight="1" thickBot="1" x14ac:dyDescent="0.35">
      <c r="B27" s="56"/>
      <c r="C27" s="57"/>
      <c r="D27" s="57"/>
      <c r="E27" s="451" t="s">
        <v>79</v>
      </c>
      <c r="F27" s="451"/>
      <c r="G27" s="451"/>
      <c r="H27" s="258">
        <f>SUM(H22:H26)</f>
        <v>0</v>
      </c>
      <c r="J27" s="412" t="s">
        <v>84</v>
      </c>
      <c r="K27" s="413"/>
      <c r="L27" s="413"/>
      <c r="M27" s="413"/>
      <c r="N27" s="182" t="s">
        <v>193</v>
      </c>
      <c r="O27" s="237">
        <f>ROUNDUP((IF(C22=BV10,(E22+F22)*2*G22,0)+IF(C23=BV10,(E23+F23)*2*G23,0)+IF(C24=BV10,(E24+F24)*2*G24,0)+IF(C25=BV10,(E25+F25)*2*G25,0)+IF(C26=BV10,(E26+F26)*2*G26,0))/1000,0)</f>
        <v>12</v>
      </c>
      <c r="P27" s="236"/>
      <c r="Q27" s="236"/>
      <c r="R27" s="227">
        <f>O27*Цены!J180</f>
        <v>531.96</v>
      </c>
      <c r="S27" s="216"/>
      <c r="T27" s="216"/>
      <c r="X27" s="67"/>
      <c r="Y27" s="67"/>
      <c r="Z27" s="67"/>
      <c r="AA27" s="67"/>
      <c r="AB27" s="6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Y27" s="1" t="s">
        <v>264</v>
      </c>
      <c r="AZ27" s="111" t="s">
        <v>257</v>
      </c>
      <c r="BA27" s="111"/>
      <c r="BB27" s="111"/>
      <c r="BC27" s="111">
        <v>5075</v>
      </c>
      <c r="BD27" s="139"/>
      <c r="BE27" s="111"/>
      <c r="BF27" s="111"/>
      <c r="BG27" s="111"/>
      <c r="BH27" s="111"/>
      <c r="BI27" s="111"/>
      <c r="BJ27" s="111"/>
      <c r="BK27" s="111"/>
      <c r="BL27" s="111"/>
      <c r="BM27" s="139"/>
      <c r="BN27" s="139"/>
      <c r="BO27" s="139"/>
      <c r="BP27" s="139"/>
      <c r="BQ27" s="139"/>
      <c r="BR27" s="139"/>
      <c r="BV27" s="16" t="s">
        <v>129</v>
      </c>
      <c r="CE27" s="1" t="s">
        <v>520</v>
      </c>
    </row>
    <row r="28" spans="2:83" ht="25.05" customHeight="1" x14ac:dyDescent="0.3">
      <c r="B28" s="56"/>
      <c r="C28" s="493" t="str">
        <f>IF((SUM(BZ22:BZ26)/C18)&lt;&gt;1,BV21,BV22)</f>
        <v>Верно внесены высоты вставок</v>
      </c>
      <c r="D28" s="493"/>
      <c r="E28" s="82">
        <f>IF(C28=BV22,1,0)</f>
        <v>1</v>
      </c>
      <c r="F28" s="82"/>
      <c r="G28" s="82"/>
      <c r="H28" s="58"/>
      <c r="J28" s="511" t="s">
        <v>80</v>
      </c>
      <c r="K28" s="512"/>
      <c r="L28" s="512"/>
      <c r="M28" s="512"/>
      <c r="N28" s="182" t="s">
        <v>194</v>
      </c>
      <c r="O28" s="177">
        <f>IF(AND(E11=BV25,E8=BV59),O25,0)</f>
        <v>0</v>
      </c>
      <c r="P28" s="194"/>
      <c r="Q28" s="194"/>
      <c r="R28" s="227">
        <f>O28*Цены!J173</f>
        <v>0</v>
      </c>
      <c r="S28" s="216"/>
      <c r="T28" s="216"/>
      <c r="X28" s="67"/>
      <c r="Y28" s="67"/>
      <c r="Z28" s="67"/>
      <c r="AA28" s="67"/>
      <c r="AB28" s="67"/>
      <c r="AC28" s="67"/>
      <c r="AY28" s="115">
        <f>IF(C22=$BV$8,(F22*E22/1000000)*8,IF(C22=$BV$9,(F22*E22/1000000)*6.5,(F22*E22/1000000)*11))</f>
        <v>11.897501</v>
      </c>
      <c r="AZ28" s="139" t="s">
        <v>258</v>
      </c>
      <c r="BA28" s="139"/>
      <c r="BB28" s="139"/>
      <c r="BC28" s="111">
        <v>5400</v>
      </c>
      <c r="BD28" s="139"/>
      <c r="BE28" s="111"/>
      <c r="BF28" s="111"/>
      <c r="BG28" s="111"/>
      <c r="BH28" s="111"/>
      <c r="BI28" s="111"/>
      <c r="BJ28" s="111"/>
      <c r="BK28" s="111"/>
      <c r="BL28" s="111"/>
      <c r="BM28" s="139"/>
      <c r="BN28" s="139"/>
      <c r="BO28" s="139"/>
      <c r="BP28" s="139"/>
      <c r="BQ28" s="139"/>
      <c r="BR28" s="139"/>
      <c r="BV28" s="1" t="s">
        <v>76</v>
      </c>
      <c r="CE28" s="1" t="s">
        <v>518</v>
      </c>
    </row>
    <row r="29" spans="2:83" ht="25.05" customHeight="1" x14ac:dyDescent="0.3">
      <c r="B29" s="56"/>
      <c r="C29" s="57"/>
      <c r="D29" s="57"/>
      <c r="E29" s="57"/>
      <c r="F29" s="57"/>
      <c r="G29" s="57"/>
      <c r="H29" s="58"/>
      <c r="J29" s="412" t="s">
        <v>165</v>
      </c>
      <c r="K29" s="413"/>
      <c r="L29" s="413"/>
      <c r="M29" s="413"/>
      <c r="N29" s="183" t="s">
        <v>195</v>
      </c>
      <c r="O29" s="269">
        <f>IF(AND(E11=BV26,E8=BV59),O25,0)</f>
        <v>0</v>
      </c>
      <c r="P29" s="193"/>
      <c r="Q29" s="193"/>
      <c r="R29" s="206">
        <f>O29*Цены!J134</f>
        <v>0</v>
      </c>
      <c r="S29" s="187"/>
      <c r="T29" s="187"/>
      <c r="X29" s="67"/>
      <c r="Y29" s="67"/>
      <c r="Z29" s="67"/>
      <c r="AA29" s="67"/>
      <c r="AB29" s="67"/>
      <c r="AC29" s="67"/>
      <c r="AY29" s="115">
        <f>IF(C23=$BV$8,(F23*E23/1000000)*8,IF(C23=$BV$9,(F23*E23/1000000)*6.5,(F23*E23/1000000)*11))</f>
        <v>0</v>
      </c>
      <c r="AZ29" s="81">
        <v>1000</v>
      </c>
      <c r="BA29" s="81">
        <v>1250</v>
      </c>
      <c r="BB29" s="81">
        <v>1800</v>
      </c>
      <c r="BC29" s="81">
        <v>2000</v>
      </c>
      <c r="BD29" s="81">
        <v>2500</v>
      </c>
      <c r="BE29" s="81">
        <v>2700</v>
      </c>
      <c r="BF29" s="81">
        <v>3000</v>
      </c>
      <c r="BG29" s="81">
        <v>3600</v>
      </c>
      <c r="BH29" s="81">
        <v>3750</v>
      </c>
      <c r="BI29" s="81">
        <v>4000</v>
      </c>
      <c r="BJ29" s="81">
        <v>5000</v>
      </c>
      <c r="BK29" s="112">
        <v>5400</v>
      </c>
      <c r="BL29" s="140"/>
      <c r="BM29" s="139"/>
      <c r="BN29" s="139"/>
      <c r="BO29" s="139"/>
      <c r="BP29" s="139"/>
      <c r="BQ29" s="139"/>
      <c r="BR29" s="139"/>
    </row>
    <row r="30" spans="2:83" ht="25.05" customHeight="1" x14ac:dyDescent="0.3">
      <c r="B30" s="56"/>
      <c r="C30" s="57"/>
      <c r="D30" s="57"/>
      <c r="E30" s="71"/>
      <c r="F30" s="71"/>
      <c r="G30" s="71"/>
      <c r="H30" s="58"/>
      <c r="J30" s="392" t="s">
        <v>76</v>
      </c>
      <c r="K30" s="393"/>
      <c r="L30" s="393"/>
      <c r="M30" s="393"/>
      <c r="N30" s="181" t="s">
        <v>196</v>
      </c>
      <c r="O30" s="180">
        <f>IF(E11=BV28,ROUNDUP(L9*M9/1000,0),0)</f>
        <v>0</v>
      </c>
      <c r="P30" s="197"/>
      <c r="Q30" s="197"/>
      <c r="R30" s="206">
        <f>O30*Цены!J163</f>
        <v>0</v>
      </c>
      <c r="S30" s="187"/>
      <c r="T30" s="18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Y30" s="115">
        <f>IF(C24=$BV$8,(F24*E24/1000000)*8,IF(C24=$BV$9,(F24*E24/1000000)*6.5,(F24*E24/1000000)*11))</f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250">
        <f>BK19</f>
        <v>2</v>
      </c>
      <c r="BL30" s="139"/>
      <c r="BM30" s="111"/>
      <c r="BN30" s="111"/>
      <c r="BO30" s="111"/>
      <c r="BP30" s="111"/>
      <c r="BQ30" s="111"/>
      <c r="BR30" s="111"/>
      <c r="BV30" s="57" t="s">
        <v>117</v>
      </c>
    </row>
    <row r="31" spans="2:83" ht="25.05" customHeight="1" x14ac:dyDescent="0.3">
      <c r="B31" s="56"/>
      <c r="C31" s="57"/>
      <c r="D31" s="57"/>
      <c r="E31" s="57"/>
      <c r="F31" s="57"/>
      <c r="H31" s="8"/>
      <c r="J31" s="392" t="s">
        <v>129</v>
      </c>
      <c r="K31" s="393"/>
      <c r="L31" s="393"/>
      <c r="M31" s="393"/>
      <c r="N31" s="181" t="s">
        <v>197</v>
      </c>
      <c r="O31" s="180">
        <f>IF(E11=BV27,ROUNDUP(L9*M9/1000,0),0)</f>
        <v>11</v>
      </c>
      <c r="P31" s="197"/>
      <c r="Q31" s="197"/>
      <c r="R31" s="206">
        <f>O31*Цены!J182</f>
        <v>289.52</v>
      </c>
      <c r="S31" s="187"/>
      <c r="T31" s="187"/>
      <c r="AY31" s="115">
        <f>IF(C25=$BV$8,(F25*E25/1000000)*8,IF(C25=$BV$9,(F25*E25/1000000)*6.5,(F25*E25/1000000)*11))</f>
        <v>0</v>
      </c>
      <c r="AZ31" s="113">
        <v>0</v>
      </c>
      <c r="BA31" s="113">
        <v>0</v>
      </c>
      <c r="BB31" s="113">
        <v>0</v>
      </c>
      <c r="BC31" s="113">
        <v>0</v>
      </c>
      <c r="BD31" s="111">
        <f>IF(AND(BL31&gt;0,BL31&lt;=2500),1,0)</f>
        <v>1</v>
      </c>
      <c r="BE31" s="113">
        <v>0</v>
      </c>
      <c r="BF31" s="113">
        <v>0</v>
      </c>
      <c r="BG31" s="113">
        <v>0</v>
      </c>
      <c r="BH31" s="113">
        <v>0</v>
      </c>
      <c r="BI31" s="113">
        <v>0</v>
      </c>
      <c r="BJ31" s="111">
        <f>IF(AND(BL31&gt;2500,BL31&lt;=4950),BM31+1,BM31)</f>
        <v>0</v>
      </c>
      <c r="BK31" s="113">
        <v>0</v>
      </c>
      <c r="BL31" s="139">
        <f>BL20</f>
        <v>1648</v>
      </c>
      <c r="BM31" s="139">
        <f t="shared" ref="BM31:BR31" si="21">BM20</f>
        <v>0</v>
      </c>
      <c r="BN31" s="139">
        <f t="shared" si="21"/>
        <v>0</v>
      </c>
      <c r="BO31" s="139">
        <f t="shared" si="21"/>
        <v>0</v>
      </c>
      <c r="BP31" s="139">
        <f t="shared" si="21"/>
        <v>0</v>
      </c>
      <c r="BQ31" s="139" t="str">
        <f t="shared" si="21"/>
        <v>Цена 4в1</v>
      </c>
      <c r="BR31" s="139" t="str">
        <f t="shared" si="21"/>
        <v>Цена стандарт</v>
      </c>
      <c r="BV31" s="57" t="s">
        <v>94</v>
      </c>
    </row>
    <row r="32" spans="2:83" ht="25.05" customHeight="1" thickBot="1" x14ac:dyDescent="0.35">
      <c r="B32" s="56"/>
      <c r="C32" s="494" t="str">
        <f>IF(AND(SUM(BZ22:BZ26)/C18=1,E26=0,C18&lt;&gt;1),BV42,BV43)</f>
        <v xml:space="preserve"> </v>
      </c>
      <c r="D32" s="494"/>
      <c r="E32" s="71"/>
      <c r="F32" s="71"/>
      <c r="G32" s="71"/>
      <c r="H32" s="8"/>
      <c r="J32" s="392" t="s">
        <v>161</v>
      </c>
      <c r="K32" s="393"/>
      <c r="L32" s="393"/>
      <c r="M32" s="393"/>
      <c r="N32" s="234" t="s">
        <v>198</v>
      </c>
      <c r="O32" s="178">
        <f>IF(O31&gt;0,M9*2,0)</f>
        <v>8</v>
      </c>
      <c r="P32" s="195"/>
      <c r="Q32" s="195"/>
      <c r="R32" s="206">
        <f>O32*Цены!J178</f>
        <v>143.68</v>
      </c>
      <c r="S32" s="187"/>
      <c r="T32" s="18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Y32" s="115">
        <f>IF(C26=$BV$8,(F26*E26/1000000)*8,IF(C26=$BV$9,(F26*E26/1000000)*6.5,(F26*E26/1000000)*11))</f>
        <v>0</v>
      </c>
      <c r="AZ32" s="113">
        <v>0</v>
      </c>
      <c r="BA32" s="113">
        <v>0</v>
      </c>
      <c r="BB32" s="113">
        <v>0</v>
      </c>
      <c r="BC32" s="113"/>
      <c r="BD32" s="142">
        <f>IF(AND(J11=BY5,BL32&gt;0,BL32&lt;=2500),1,0)</f>
        <v>0</v>
      </c>
      <c r="BE32" s="143">
        <f>IF(AND(J11=BY4,BO32&gt;0,BO32&lt;=2700),1,0)</f>
        <v>0</v>
      </c>
      <c r="BF32" s="113">
        <v>0</v>
      </c>
      <c r="BG32" s="113">
        <v>0</v>
      </c>
      <c r="BH32" s="113">
        <v>0</v>
      </c>
      <c r="BI32" s="113">
        <v>0</v>
      </c>
      <c r="BJ32" s="142">
        <f>IF(AND(J11=BY5,BL32&gt;2500,BL32&lt;=4950),BM32+1,BM32)</f>
        <v>0</v>
      </c>
      <c r="BK32" s="143">
        <f>IF(AND(J11=BY4,BO32&gt;2700,BO32&lt;=5350),BP32+1,BP32)</f>
        <v>0</v>
      </c>
      <c r="BL32" s="139">
        <f t="shared" ref="BL32:BR32" si="22">BL21</f>
        <v>0</v>
      </c>
      <c r="BM32" s="139">
        <f t="shared" si="22"/>
        <v>0</v>
      </c>
      <c r="BN32" s="139">
        <f t="shared" si="22"/>
        <v>0</v>
      </c>
      <c r="BO32" s="139">
        <f t="shared" si="22"/>
        <v>0</v>
      </c>
      <c r="BP32" s="139">
        <f t="shared" si="22"/>
        <v>0</v>
      </c>
      <c r="BQ32" s="139">
        <f t="shared" si="22"/>
        <v>0</v>
      </c>
      <c r="BR32" s="139">
        <f t="shared" si="22"/>
        <v>0</v>
      </c>
    </row>
    <row r="33" spans="2:74" ht="25.05" customHeight="1" thickBot="1" x14ac:dyDescent="0.35">
      <c r="B33" s="56"/>
      <c r="C33" s="57"/>
      <c r="D33" s="57"/>
      <c r="E33" s="57"/>
      <c r="F33" s="57"/>
      <c r="G33" s="57"/>
      <c r="H33" s="8"/>
      <c r="J33" s="392" t="s">
        <v>176</v>
      </c>
      <c r="K33" s="393"/>
      <c r="L33" s="393"/>
      <c r="M33" s="393"/>
      <c r="N33" s="182" t="s">
        <v>206</v>
      </c>
      <c r="O33" s="178">
        <f>IF(E14=BV46,E9,0)</f>
        <v>0</v>
      </c>
      <c r="P33" s="195"/>
      <c r="Q33" s="195"/>
      <c r="R33" s="206">
        <f>O33*Цены!J120</f>
        <v>0</v>
      </c>
      <c r="S33" s="187"/>
      <c r="T33" s="187"/>
      <c r="U33" s="67"/>
      <c r="V33" s="67"/>
      <c r="W33" s="67"/>
      <c r="X33" s="67"/>
      <c r="Y33" s="67"/>
      <c r="Z33" s="67"/>
      <c r="AA33" s="67"/>
      <c r="AB33" s="67"/>
      <c r="AC33" s="67"/>
      <c r="AY33" s="230">
        <f>SUM(AY28:AY32)</f>
        <v>11.897501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11">
        <f>IF(AND(BO33&gt;0,BO33&lt;=2700),1,0)</f>
        <v>1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11">
        <f>IF(AND(BO33&gt;2700,BO33&lt;=5350),BP33+1,BP33)</f>
        <v>0</v>
      </c>
      <c r="BL33" s="139">
        <f t="shared" ref="BL33:BR33" si="23">BL22</f>
        <v>0</v>
      </c>
      <c r="BM33" s="139">
        <f t="shared" si="23"/>
        <v>0</v>
      </c>
      <c r="BN33" s="139">
        <f t="shared" si="23"/>
        <v>0</v>
      </c>
      <c r="BO33" s="139">
        <f t="shared" si="23"/>
        <v>1080</v>
      </c>
      <c r="BP33" s="139">
        <f t="shared" si="23"/>
        <v>0</v>
      </c>
      <c r="BQ33" s="139">
        <f t="shared" si="23"/>
        <v>0</v>
      </c>
      <c r="BR33" s="139">
        <f t="shared" si="23"/>
        <v>0</v>
      </c>
      <c r="BV33" s="1" t="s">
        <v>71</v>
      </c>
    </row>
    <row r="34" spans="2:74" ht="25.05" customHeight="1" x14ac:dyDescent="0.3">
      <c r="B34" s="56"/>
      <c r="C34" s="57"/>
      <c r="D34" s="57"/>
      <c r="E34" s="57"/>
      <c r="F34" s="57"/>
      <c r="G34" s="57"/>
      <c r="H34" s="8"/>
      <c r="J34" s="392" t="s">
        <v>231</v>
      </c>
      <c r="K34" s="393"/>
      <c r="L34" s="393"/>
      <c r="M34" s="393"/>
      <c r="N34" s="182" t="s">
        <v>235</v>
      </c>
      <c r="O34" s="178">
        <f>IF(E8=BV60,E9,0)</f>
        <v>2</v>
      </c>
      <c r="P34" s="195"/>
      <c r="Q34" s="195"/>
      <c r="R34" s="206">
        <f>O34*Цены!J126</f>
        <v>5071.76</v>
      </c>
      <c r="S34" s="187"/>
      <c r="T34" s="187"/>
      <c r="U34" s="67"/>
      <c r="V34" s="67"/>
      <c r="W34" s="67"/>
      <c r="X34" s="67"/>
      <c r="Y34" s="67"/>
      <c r="Z34" s="67"/>
      <c r="AA34" s="67"/>
      <c r="AB34" s="67"/>
      <c r="AC34" s="67"/>
      <c r="BV34" s="1" t="s">
        <v>167</v>
      </c>
    </row>
    <row r="35" spans="2:74" ht="25.05" customHeight="1" thickBot="1" x14ac:dyDescent="0.4">
      <c r="B35" s="72"/>
      <c r="C35" s="73"/>
      <c r="D35" s="82"/>
      <c r="E35" s="82"/>
      <c r="F35" s="82"/>
      <c r="G35" s="82"/>
      <c r="H35" s="8"/>
      <c r="J35" s="509" t="s">
        <v>162</v>
      </c>
      <c r="K35" s="510"/>
      <c r="L35" s="510"/>
      <c r="M35" s="510"/>
      <c r="N35" s="347" t="s">
        <v>207</v>
      </c>
      <c r="O35" s="338">
        <f>E12</f>
        <v>0</v>
      </c>
      <c r="P35" s="195"/>
      <c r="Q35" s="195"/>
      <c r="R35" s="238">
        <f>O35*Цены!J149</f>
        <v>0</v>
      </c>
      <c r="S35" s="187"/>
      <c r="T35" s="187"/>
      <c r="U35" s="67"/>
      <c r="V35" s="67"/>
      <c r="W35" s="67"/>
      <c r="X35" s="67"/>
      <c r="Y35" s="67"/>
      <c r="Z35" s="67"/>
      <c r="AA35" s="67"/>
      <c r="AB35" s="67"/>
      <c r="AC35" s="67"/>
      <c r="BE35" s="186" t="s">
        <v>518</v>
      </c>
      <c r="BV35" s="1" t="s">
        <v>168</v>
      </c>
    </row>
    <row r="36" spans="2:74" ht="25.05" customHeight="1" thickBot="1" x14ac:dyDescent="0.35">
      <c r="B36" s="9"/>
      <c r="H36" s="8"/>
      <c r="J36" s="10"/>
      <c r="K36" s="348"/>
      <c r="L36" s="349"/>
      <c r="M36" s="349"/>
      <c r="N36" s="349"/>
      <c r="O36" s="109"/>
      <c r="R36" s="223">
        <f>SUM(R19:R35)</f>
        <v>8258.380000000001</v>
      </c>
      <c r="S36" s="201"/>
      <c r="T36" s="201"/>
    </row>
    <row r="37" spans="2:74" ht="25.05" customHeight="1" thickBot="1" x14ac:dyDescent="0.4">
      <c r="B37" s="72"/>
      <c r="C37" s="73"/>
      <c r="D37" s="82"/>
      <c r="E37" s="82"/>
      <c r="F37" s="82"/>
      <c r="G37" s="260" t="s">
        <v>261</v>
      </c>
      <c r="H37" s="117">
        <f>ROUNDUP((AY15+AY33)*1.1,0)</f>
        <v>18</v>
      </c>
      <c r="Q37" s="477" t="s">
        <v>425</v>
      </c>
      <c r="AZ37" s="111" t="s">
        <v>256</v>
      </c>
      <c r="BA37" s="111"/>
      <c r="BB37" s="111"/>
      <c r="BC37" s="139">
        <v>5000</v>
      </c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</row>
    <row r="38" spans="2:74" ht="25.05" customHeight="1" thickBot="1" x14ac:dyDescent="0.4">
      <c r="B38" s="76"/>
      <c r="C38" s="77"/>
      <c r="D38" s="78"/>
      <c r="E38" s="78"/>
      <c r="F38" s="78"/>
      <c r="G38" s="78"/>
      <c r="H38" s="79"/>
      <c r="L38" s="398" t="s">
        <v>521</v>
      </c>
      <c r="M38" s="398"/>
      <c r="N38" s="398"/>
      <c r="O38" s="398"/>
      <c r="Q38" s="477"/>
      <c r="R38" s="207">
        <f>R13+R36+H27</f>
        <v>23678.58</v>
      </c>
      <c r="S38" s="215"/>
      <c r="T38" s="215"/>
      <c r="AZ38" s="111" t="s">
        <v>257</v>
      </c>
      <c r="BA38" s="111"/>
      <c r="BB38" s="111"/>
      <c r="BC38" s="111">
        <v>5075</v>
      </c>
      <c r="BD38" s="139"/>
      <c r="BE38" s="111"/>
      <c r="BF38" s="111"/>
      <c r="BG38" s="111"/>
      <c r="BH38" s="111"/>
      <c r="BI38" s="111"/>
      <c r="BJ38" s="111"/>
      <c r="BK38" s="111"/>
      <c r="BL38" s="111"/>
      <c r="BM38" s="139"/>
      <c r="BN38" s="139"/>
      <c r="BO38" s="139"/>
      <c r="BP38" s="139"/>
      <c r="BQ38" s="139"/>
      <c r="BR38" s="139"/>
    </row>
    <row r="39" spans="2:74" ht="25.05" customHeight="1" x14ac:dyDescent="0.3">
      <c r="AZ39" s="139" t="s">
        <v>258</v>
      </c>
      <c r="BA39" s="139"/>
      <c r="BB39" s="139"/>
      <c r="BC39" s="111">
        <v>5400</v>
      </c>
      <c r="BD39" s="139"/>
      <c r="BE39" s="111"/>
      <c r="BF39" s="111"/>
      <c r="BG39" s="111"/>
      <c r="BH39" s="111"/>
      <c r="BI39" s="111"/>
      <c r="BJ39" s="111"/>
      <c r="BK39" s="111"/>
      <c r="BL39" s="111"/>
      <c r="BM39" s="139"/>
      <c r="BN39" s="139"/>
      <c r="BO39" s="139"/>
      <c r="BP39" s="139"/>
      <c r="BQ39" s="139"/>
      <c r="BR39" s="139"/>
    </row>
    <row r="40" spans="2:74" ht="25.05" customHeight="1" x14ac:dyDescent="0.3">
      <c r="AZ40" s="81">
        <v>1000</v>
      </c>
      <c r="BA40" s="81">
        <v>1250</v>
      </c>
      <c r="BB40" s="81">
        <v>1800</v>
      </c>
      <c r="BC40" s="81">
        <v>2000</v>
      </c>
      <c r="BD40" s="81">
        <v>2500</v>
      </c>
      <c r="BE40" s="81">
        <v>2700</v>
      </c>
      <c r="BF40" s="81">
        <v>3000</v>
      </c>
      <c r="BG40" s="81">
        <v>3600</v>
      </c>
      <c r="BH40" s="81">
        <v>3750</v>
      </c>
      <c r="BI40" s="81">
        <v>4000</v>
      </c>
      <c r="BJ40" s="81">
        <v>5000</v>
      </c>
      <c r="BK40" s="112">
        <v>5400</v>
      </c>
      <c r="BL40" s="140"/>
      <c r="BM40" s="139"/>
      <c r="BN40" s="139"/>
      <c r="BO40" s="139"/>
      <c r="BP40" s="139"/>
      <c r="BQ40" s="139"/>
      <c r="BR40" s="139"/>
    </row>
    <row r="41" spans="2:74" ht="25.05" customHeight="1" x14ac:dyDescent="0.3">
      <c r="AZ41" s="111">
        <v>0</v>
      </c>
      <c r="BA41" s="111">
        <v>0</v>
      </c>
      <c r="BB41" s="111">
        <v>0</v>
      </c>
      <c r="BC41" s="111">
        <v>0</v>
      </c>
      <c r="BD41" s="111">
        <v>0</v>
      </c>
      <c r="BE41" s="111">
        <v>0</v>
      </c>
      <c r="BF41" s="111">
        <v>0</v>
      </c>
      <c r="BG41" s="111">
        <v>0</v>
      </c>
      <c r="BH41" s="111">
        <v>0</v>
      </c>
      <c r="BI41" s="111">
        <v>0</v>
      </c>
      <c r="BJ41" s="111">
        <v>0</v>
      </c>
      <c r="BK41" s="250">
        <f>BK30</f>
        <v>2</v>
      </c>
      <c r="BL41" s="139"/>
      <c r="BM41" s="111"/>
      <c r="BN41" s="111"/>
      <c r="BO41" s="111"/>
      <c r="BP41" s="111"/>
      <c r="BQ41" s="111"/>
      <c r="BR41" s="111"/>
    </row>
    <row r="42" spans="2:74" ht="25.05" customHeight="1" x14ac:dyDescent="0.35">
      <c r="AZ42" s="113">
        <v>0</v>
      </c>
      <c r="BA42" s="113">
        <v>0</v>
      </c>
      <c r="BB42" s="113">
        <v>0</v>
      </c>
      <c r="BC42" s="113">
        <v>0</v>
      </c>
      <c r="BD42" s="111">
        <f>IF(AND(BL42&gt;0,BL42&lt;=2500),1,0)</f>
        <v>1</v>
      </c>
      <c r="BE42" s="113">
        <v>0</v>
      </c>
      <c r="BF42" s="113">
        <v>0</v>
      </c>
      <c r="BG42" s="113">
        <v>0</v>
      </c>
      <c r="BH42" s="113">
        <v>0</v>
      </c>
      <c r="BI42" s="113">
        <v>0</v>
      </c>
      <c r="BJ42" s="111">
        <f>IF(AND(BL42&gt;2500,BL42&lt;=4950),BM42+1,BM42)</f>
        <v>0</v>
      </c>
      <c r="BK42" s="113">
        <v>0</v>
      </c>
      <c r="BL42" s="139">
        <f>BL31</f>
        <v>1648</v>
      </c>
      <c r="BM42" s="139">
        <f t="shared" ref="BM42:BR42" si="24">BM31</f>
        <v>0</v>
      </c>
      <c r="BN42" s="139">
        <f t="shared" si="24"/>
        <v>0</v>
      </c>
      <c r="BO42" s="139">
        <f t="shared" si="24"/>
        <v>0</v>
      </c>
      <c r="BP42" s="139">
        <f t="shared" si="24"/>
        <v>0</v>
      </c>
      <c r="BQ42" s="139" t="str">
        <f t="shared" si="24"/>
        <v>Цена 4в1</v>
      </c>
      <c r="BR42" s="139" t="str">
        <f t="shared" si="24"/>
        <v>Цена стандарт</v>
      </c>
      <c r="BV42" s="73" t="s">
        <v>126</v>
      </c>
    </row>
    <row r="43" spans="2:74" ht="25.05" customHeight="1" x14ac:dyDescent="0.3">
      <c r="AZ43" s="113">
        <v>0</v>
      </c>
      <c r="BA43" s="113">
        <v>0</v>
      </c>
      <c r="BB43" s="143">
        <f>IF(AND(J11=BY4,BO43&gt;0,BO43&lt;=1800),1,0)</f>
        <v>0</v>
      </c>
      <c r="BC43" s="113">
        <v>0</v>
      </c>
      <c r="BD43" s="142">
        <f>IF(AND(J11=BY5,BL43&gt;0,BL43&lt;=2500),1,0)</f>
        <v>0</v>
      </c>
      <c r="BE43" s="143">
        <f>IF(AND(J11=BY4,BO43&gt;1800,BO43&lt;=2700),1,0)</f>
        <v>0</v>
      </c>
      <c r="BF43" s="113">
        <v>0</v>
      </c>
      <c r="BG43" s="143">
        <f>IF(AND(J11=BY4,BO43&gt;2700,BO43&lt;=3600),1,0)</f>
        <v>0</v>
      </c>
      <c r="BH43" s="113">
        <v>0</v>
      </c>
      <c r="BI43" s="113">
        <v>0</v>
      </c>
      <c r="BJ43" s="142">
        <f>IF(AND(J11=BY5,BL43&gt;2500,BL43&lt;=4950),BM43+1,BM43)</f>
        <v>0</v>
      </c>
      <c r="BK43" s="143">
        <f>IF(AND(J11=BY4,BO43&gt;3600,BO43&lt;=5350),BP43+1,BP43)</f>
        <v>0</v>
      </c>
      <c r="BL43" s="139">
        <f t="shared" ref="BL43:BR43" si="25">BL32</f>
        <v>0</v>
      </c>
      <c r="BM43" s="139">
        <f t="shared" si="25"/>
        <v>0</v>
      </c>
      <c r="BN43" s="139">
        <f t="shared" si="25"/>
        <v>0</v>
      </c>
      <c r="BO43" s="139">
        <f t="shared" si="25"/>
        <v>0</v>
      </c>
      <c r="BP43" s="139">
        <f t="shared" si="25"/>
        <v>0</v>
      </c>
      <c r="BQ43" s="139">
        <f t="shared" si="25"/>
        <v>0</v>
      </c>
      <c r="BR43" s="139">
        <f t="shared" si="25"/>
        <v>0</v>
      </c>
      <c r="BV43" s="1" t="s">
        <v>94</v>
      </c>
    </row>
    <row r="44" spans="2:74" ht="25.05" customHeight="1" x14ac:dyDescent="0.3">
      <c r="AZ44" s="144">
        <v>0</v>
      </c>
      <c r="BA44" s="144">
        <v>0</v>
      </c>
      <c r="BB44" s="144">
        <v>0</v>
      </c>
      <c r="BC44" s="144">
        <v>0</v>
      </c>
      <c r="BD44" s="144">
        <v>0</v>
      </c>
      <c r="BE44" s="111">
        <f>IF(AND(BO44&gt;0,BO44&lt;=2700),1,0)</f>
        <v>1</v>
      </c>
      <c r="BF44" s="144">
        <v>0</v>
      </c>
      <c r="BG44" s="144">
        <v>0</v>
      </c>
      <c r="BH44" s="144">
        <v>0</v>
      </c>
      <c r="BI44" s="144">
        <v>0</v>
      </c>
      <c r="BJ44" s="144">
        <v>0</v>
      </c>
      <c r="BK44" s="111">
        <f>IF(AND(BO44&gt;2700,BO44&lt;=5350),BP44+1,BP44)</f>
        <v>0</v>
      </c>
      <c r="BL44" s="139">
        <f t="shared" ref="BL44:BR44" si="26">BL33</f>
        <v>0</v>
      </c>
      <c r="BM44" s="139">
        <f t="shared" si="26"/>
        <v>0</v>
      </c>
      <c r="BN44" s="139">
        <f t="shared" si="26"/>
        <v>0</v>
      </c>
      <c r="BO44" s="139">
        <f t="shared" si="26"/>
        <v>1080</v>
      </c>
      <c r="BP44" s="139">
        <f t="shared" si="26"/>
        <v>0</v>
      </c>
      <c r="BQ44" s="139">
        <f t="shared" si="26"/>
        <v>0</v>
      </c>
      <c r="BR44" s="139">
        <f t="shared" si="26"/>
        <v>0</v>
      </c>
    </row>
    <row r="45" spans="2:74" ht="25.05" customHeight="1" x14ac:dyDescent="0.3"/>
    <row r="46" spans="2:74" x14ac:dyDescent="0.3">
      <c r="BV46" s="1" t="s">
        <v>98</v>
      </c>
    </row>
    <row r="47" spans="2:74" x14ac:dyDescent="0.3">
      <c r="BV47" s="1" t="s">
        <v>99</v>
      </c>
    </row>
    <row r="51" spans="59:74" s="1" customFormat="1" x14ac:dyDescent="0.3">
      <c r="BV51" s="1" t="s">
        <v>179</v>
      </c>
    </row>
    <row r="52" spans="59:74" s="1" customFormat="1" x14ac:dyDescent="0.3">
      <c r="BV52" s="1" t="s">
        <v>174</v>
      </c>
    </row>
    <row r="53" spans="59:74" s="1" customFormat="1" x14ac:dyDescent="0.3">
      <c r="BG53" s="30"/>
      <c r="BH53" s="30"/>
      <c r="BL53" s="30"/>
      <c r="BU53" s="30"/>
    </row>
    <row r="54" spans="59:74" s="1" customFormat="1" x14ac:dyDescent="0.3">
      <c r="BG54" s="30"/>
      <c r="BH54" s="30"/>
      <c r="BL54" s="30"/>
      <c r="BU54" s="30"/>
    </row>
    <row r="55" spans="59:74" s="1" customFormat="1" x14ac:dyDescent="0.3">
      <c r="BG55" s="30"/>
      <c r="BH55" s="30"/>
      <c r="BL55" s="30"/>
      <c r="BU55" s="30"/>
      <c r="BV55" s="1" t="s">
        <v>177</v>
      </c>
    </row>
    <row r="56" spans="59:74" s="1" customFormat="1" x14ac:dyDescent="0.3">
      <c r="BV56" s="1" t="s">
        <v>174</v>
      </c>
    </row>
    <row r="59" spans="59:74" s="1" customFormat="1" x14ac:dyDescent="0.3">
      <c r="BV59" s="1" t="s">
        <v>232</v>
      </c>
    </row>
    <row r="60" spans="59:74" s="1" customFormat="1" x14ac:dyDescent="0.3">
      <c r="BV60" s="1" t="s">
        <v>233</v>
      </c>
    </row>
    <row r="65" spans="74:74" s="1" customFormat="1" x14ac:dyDescent="0.3">
      <c r="BV65" s="30" t="str">
        <f>Подвесная!BU50</f>
        <v>Серебро матовое</v>
      </c>
    </row>
    <row r="66" spans="74:74" s="1" customFormat="1" x14ac:dyDescent="0.3">
      <c r="BV66" s="30" t="str">
        <f>Подвесная!BU51</f>
        <v>Черный матовый</v>
      </c>
    </row>
    <row r="67" spans="74:74" s="1" customFormat="1" x14ac:dyDescent="0.3">
      <c r="BV67" s="30" t="str">
        <f>Подвесная!BU52</f>
        <v>Слоновая кость</v>
      </c>
    </row>
    <row r="68" spans="74:74" s="1" customFormat="1" x14ac:dyDescent="0.3">
      <c r="BV68" s="30" t="str">
        <f>Подвесная!BU53</f>
        <v>Белый матовый</v>
      </c>
    </row>
    <row r="69" spans="74:74" s="1" customFormat="1" x14ac:dyDescent="0.3">
      <c r="BV69" s="30" t="str">
        <f>Подвесная!BU54</f>
        <v xml:space="preserve">Венге темный </v>
      </c>
    </row>
    <row r="70" spans="74:74" s="1" customFormat="1" x14ac:dyDescent="0.3">
      <c r="BV70" s="30" t="str">
        <f>Подвесная!BU55</f>
        <v>Дуб белый</v>
      </c>
    </row>
    <row r="71" spans="74:74" s="1" customFormat="1" x14ac:dyDescent="0.3">
      <c r="BV71" s="30" t="str">
        <f>Подвесная!BU56</f>
        <v xml:space="preserve"> медь античная*</v>
      </c>
    </row>
    <row r="72" spans="74:74" s="1" customFormat="1" x14ac:dyDescent="0.3">
      <c r="BV72" s="30" t="str">
        <f>Подвесная!BU57</f>
        <v>сталь воронёная</v>
      </c>
    </row>
    <row r="73" spans="74:74" x14ac:dyDescent="0.3">
      <c r="BV73" s="30" t="str">
        <f>Подвесная!BU58</f>
        <v>золото матовое</v>
      </c>
    </row>
    <row r="74" spans="74:74" x14ac:dyDescent="0.3">
      <c r="BV74" s="30" t="str">
        <f>Подвесная!BU59</f>
        <v>антрацит</v>
      </c>
    </row>
    <row r="75" spans="74:74" x14ac:dyDescent="0.3">
      <c r="BV75" s="30" t="str">
        <f>Подвесная!BU60</f>
        <v>кварц бронзовый*</v>
      </c>
    </row>
    <row r="76" spans="74:74" x14ac:dyDescent="0.3">
      <c r="BV76" s="30" t="str">
        <f>Подвесная!BU61</f>
        <v>жемчуг серый*</v>
      </c>
    </row>
    <row r="77" spans="74:74" x14ac:dyDescent="0.3">
      <c r="BV77" s="30" t="str">
        <f>Подвесная!BU62</f>
        <v>жемчуг розовый*</v>
      </c>
    </row>
    <row r="78" spans="74:74" x14ac:dyDescent="0.3">
      <c r="BV78" s="30"/>
    </row>
    <row r="79" spans="74:74" x14ac:dyDescent="0.3">
      <c r="BV79" s="30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  <mergeCell ref="U13:AG13"/>
    <mergeCell ref="J17:L17"/>
    <mergeCell ref="J3:K3"/>
    <mergeCell ref="J7:M7"/>
    <mergeCell ref="U7:AH7"/>
    <mergeCell ref="R4:R5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</mergeCells>
  <conditionalFormatting sqref="C28">
    <cfRule type="expression" dxfId="46" priority="1091">
      <formula>$C$28=$BV$22</formula>
    </cfRule>
  </conditionalFormatting>
  <conditionalFormatting sqref="C32">
    <cfRule type="expression" dxfId="45" priority="1093">
      <formula>$C$32=$BV$42</formula>
    </cfRule>
  </conditionalFormatting>
  <conditionalFormatting sqref="C28:D28">
    <cfRule type="expression" dxfId="44" priority="1092">
      <formula>$C$28=$BV$21</formula>
    </cfRule>
  </conditionalFormatting>
  <conditionalFormatting sqref="E6">
    <cfRule type="cellIs" dxfId="43" priority="45" operator="greaterThan">
      <formula>0</formula>
    </cfRule>
  </conditionalFormatting>
  <conditionalFormatting sqref="E11">
    <cfRule type="expression" dxfId="42" priority="1099">
      <formula>AND($E$8=$BV$60,OR($E$11=$BV$25,$E$11=$BV$26))</formula>
    </cfRule>
    <cfRule type="cellIs" dxfId="41" priority="1100" operator="greaterThan">
      <formula>0</formula>
    </cfRule>
  </conditionalFormatting>
  <conditionalFormatting sqref="E12:E14">
    <cfRule type="cellIs" dxfId="40" priority="60" operator="greaterThan">
      <formula>0</formula>
    </cfRule>
  </conditionalFormatting>
  <conditionalFormatting sqref="H37">
    <cfRule type="expression" dxfId="39" priority="1094">
      <formula>AND($E$8=$BV$59,$H$37&gt;30)</formula>
    </cfRule>
    <cfRule type="expression" dxfId="38" priority="1095">
      <formula>AND($E$8=$BV$60,$H$37&gt;40)</formula>
    </cfRule>
  </conditionalFormatting>
  <conditionalFormatting sqref="K4">
    <cfRule type="expression" dxfId="37" priority="63">
      <formula>$K$4&gt;3200</formula>
    </cfRule>
  </conditionalFormatting>
  <conditionalFormatting sqref="K4:K5 S9:T13 AJ10:AT10 AG11:AG12 S14 R17:S17 R19:S24 O19:Q35 E22 F22:H26 R25:T36 H27">
    <cfRule type="expression" dxfId="36" priority="733">
      <formula>$E$4=0</formula>
    </cfRule>
  </conditionalFormatting>
  <conditionalFormatting sqref="K5">
    <cfRule type="expression" dxfId="35" priority="1096">
      <formula>AND(OR($K$5&lt;200,$K$5&gt;900),$E$4&gt;0,$E$8=$BV$60)</formula>
    </cfRule>
    <cfRule type="expression" dxfId="34" priority="1097">
      <formula>$E$9=0</formula>
    </cfRule>
    <cfRule type="expression" dxfId="33" priority="1098">
      <formula>AND(OR($K$5&lt;200,$K$5&gt;700),$E$4&gt;0,$E$8=$BV$59)</formula>
    </cfRule>
  </conditionalFormatting>
  <conditionalFormatting sqref="L9:Q12">
    <cfRule type="expression" dxfId="32" priority="37">
      <formula>$E$4=0</formula>
    </cfRule>
  </conditionalFormatting>
  <conditionalFormatting sqref="R38">
    <cfRule type="expression" dxfId="31" priority="1120">
      <formula>$N$3=$CE$11</formula>
    </cfRule>
  </conditionalFormatting>
  <conditionalFormatting sqref="R29:T32 O30:Q32 O33:T35">
    <cfRule type="expression" dxfId="30" priority="582">
      <formula>#REF!=0</formula>
    </cfRule>
  </conditionalFormatting>
  <conditionalFormatting sqref="R15:AM15 R28:AW38 AI27:AW27 R1:AI2 AJ1:AW10 R3:T3 V3:W3 Z3:AI3 S4:AI5 R6:AI6 S7:AI8 S9:T10 AG9:AI12 T11:T12 AJ11:AU12 S11:S14 T13:AM13 AO13:AW13 AN13:AN15 AO15:AW15 R16:AW16 R17:S24 R25:AW26 R27:AB27">
    <cfRule type="expression" dxfId="29" priority="1101">
      <formula>$N$3=$CE$9</formula>
    </cfRule>
  </conditionalFormatting>
  <conditionalFormatting sqref="T15:AM15 T28:AW38 AI27:AW27 T1:AW2 T3 V3:W3 Z3:AW3 T4:AW8 AG9:AW10 T9:T12 AG11:AU12 T13:AM13 AO13:AW13 AN13:AN15 AO15:AW15 T16:AW16 T25:AW26 T27:AB27">
    <cfRule type="expression" dxfId="28" priority="1114">
      <formula>$N$3=$CE$10</formula>
    </cfRule>
  </conditionalFormatting>
  <conditionalFormatting sqref="U9:AF12">
    <cfRule type="cellIs" dxfId="27" priority="3" operator="equal">
      <formula>0</formula>
    </cfRule>
  </conditionalFormatting>
  <conditionalFormatting sqref="AG9:AW10 AH12:AM13">
    <cfRule type="expression" dxfId="26" priority="8">
      <formula>$E$4=0</formula>
    </cfRule>
  </conditionalFormatting>
  <conditionalFormatting sqref="AH15 R38:T38">
    <cfRule type="expression" dxfId="25" priority="730">
      <formula>$E$4=0</formula>
    </cfRule>
  </conditionalFormatting>
  <conditionalFormatting sqref="AI11:AU12">
    <cfRule type="expression" dxfId="24" priority="22">
      <formula>$E$4=0</formula>
    </cfRule>
  </conditionalFormatting>
  <conditionalFormatting sqref="AI27:AW27">
    <cfRule type="expression" dxfId="23" priority="7">
      <formula>$E$4=0</formula>
    </cfRule>
  </conditionalFormatting>
  <conditionalFormatting sqref="AN12:AO12 AO13">
    <cfRule type="expression" dxfId="22" priority="10">
      <formula>$E$4=0</formula>
    </cfRule>
  </conditionalFormatting>
  <conditionalFormatting sqref="AP12:AW13">
    <cfRule type="expression" dxfId="21" priority="1">
      <formula>$E$4=0</formula>
    </cfRule>
  </conditionalFormatting>
  <dataValidations count="12">
    <dataValidation type="list" allowBlank="1" showInputMessage="1" showErrorMessage="1" sqref="E9" xr:uid="{00000000-0002-0000-0300-000000000000}">
      <formula1>$BV$4:$BV$5</formula1>
    </dataValidation>
    <dataValidation type="list" allowBlank="1" showInputMessage="1" showErrorMessage="1" sqref="E10" xr:uid="{00000000-0002-0000-0300-000001000000}">
      <formula1>$BV$33:$BV$35</formula1>
    </dataValidation>
    <dataValidation type="list" allowBlank="1" showInputMessage="1" showErrorMessage="1" sqref="E5" xr:uid="{00000000-0002-0000-0300-000002000000}">
      <formula1>$BV$15:$BV$19</formula1>
    </dataValidation>
    <dataValidation type="whole" allowBlank="1" showInputMessage="1" showErrorMessage="1" sqref="E12" xr:uid="{00000000-0002-0000-0300-000003000000}">
      <formula1>0</formula1>
      <formula2>20</formula2>
    </dataValidation>
    <dataValidation type="list" allowBlank="1" showInputMessage="1" showErrorMessage="1" sqref="C22:C26" xr:uid="{00000000-0002-0000-0300-000004000000}">
      <formula1>$BV$8:$BV$10</formula1>
    </dataValidation>
    <dataValidation type="list" allowBlank="1" showInputMessage="1" showErrorMessage="1" sqref="E14" xr:uid="{00000000-0002-0000-0300-000005000000}">
      <formula1>$BV$46:$BV$47</formula1>
    </dataValidation>
    <dataValidation type="list" allowBlank="1" showInputMessage="1" showErrorMessage="1" sqref="E8" xr:uid="{00000000-0002-0000-0300-000006000000}">
      <formula1>$BV$59:$BV$60</formula1>
    </dataValidation>
    <dataValidation type="list" allowBlank="1" showInputMessage="1" showErrorMessage="1" sqref="E6" xr:uid="{00000000-0002-0000-0300-000007000000}">
      <formula1>$BY$4:$BY$5</formula1>
    </dataValidation>
    <dataValidation type="whole" allowBlank="1" showInputMessage="1" showErrorMessage="1" sqref="E13" xr:uid="{00000000-0002-0000-0300-000008000000}">
      <formula1>150</formula1>
      <formula2>K4</formula2>
    </dataValidation>
    <dataValidation type="list" allowBlank="1" showInputMessage="1" showErrorMessage="1" sqref="E11" xr:uid="{00000000-0002-0000-0300-000009000000}">
      <formula1>$BV$25:$BV$28</formula1>
    </dataValidation>
    <dataValidation type="list" allowBlank="1" showInputMessage="1" showErrorMessage="1" sqref="E7:H7" xr:uid="{00000000-0002-0000-0300-00000A000000}">
      <formula1>$BV$65:$BV$77</formula1>
    </dataValidation>
    <dataValidation type="list" allowBlank="1" showInputMessage="1" showErrorMessage="1" sqref="Z3:AA3" xr:uid="{00000000-0002-0000-0300-00000B000000}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664062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75" hidden="1" customWidth="1"/>
    <col min="19" max="19" width="1.77734375" style="1" hidden="1" customWidth="1"/>
    <col min="20" max="20" width="24.77734375" style="1" hidden="1" customWidth="1"/>
    <col min="21" max="32" width="11.77734375" style="1" hidden="1" customWidth="1"/>
    <col min="33" max="33" width="14.77734375" style="1" hidden="1" customWidth="1"/>
    <col min="34" max="34" width="14.77734375" style="75" hidden="1" customWidth="1"/>
    <col min="35" max="46" width="5.77734375" style="75" hidden="1" customWidth="1"/>
    <col min="47" max="49" width="14.77734375" style="75" hidden="1" customWidth="1"/>
    <col min="50" max="50" width="9.5546875" style="1" hidden="1" customWidth="1"/>
    <col min="51" max="51" width="16.21875" style="1" hidden="1" customWidth="1"/>
    <col min="52" max="53" width="12.21875" style="1" hidden="1" customWidth="1"/>
    <col min="54" max="54" width="14.77734375" style="1" hidden="1" customWidth="1"/>
    <col min="55" max="55" width="14" style="1" hidden="1" customWidth="1"/>
    <col min="56" max="56" width="11.77734375" style="1" hidden="1" customWidth="1"/>
    <col min="57" max="58" width="12.21875" style="1" hidden="1" customWidth="1"/>
    <col min="59" max="60" width="11.33203125" style="1" hidden="1" customWidth="1"/>
    <col min="61" max="61" width="11.109375" style="1" hidden="1" customWidth="1"/>
    <col min="62" max="62" width="11.6640625" style="1" hidden="1" customWidth="1"/>
    <col min="63" max="63" width="10.33203125" style="1" hidden="1" customWidth="1"/>
    <col min="64" max="69" width="9.5546875" style="1" hidden="1" customWidth="1"/>
    <col min="70" max="72" width="13.88671875" style="1" hidden="1" customWidth="1"/>
    <col min="73" max="73" width="9.5546875" style="1" hidden="1" customWidth="1"/>
    <col min="74" max="74" width="27.33203125" style="1" hidden="1" customWidth="1"/>
    <col min="75" max="76" width="8.88671875" style="1" hidden="1" customWidth="1"/>
    <col min="77" max="77" width="25.5546875" style="1" hidden="1" customWidth="1"/>
    <col min="78" max="78" width="14.33203125" style="1" hidden="1" customWidth="1"/>
    <col min="79" max="86" width="8.88671875" style="1" hidden="1" customWidth="1"/>
    <col min="87" max="89" width="8.88671875" style="1" customWidth="1"/>
    <col min="90" max="16384" width="8.88671875" style="1"/>
  </cols>
  <sheetData>
    <row r="1" spans="2:83" ht="25.05" customHeight="1" x14ac:dyDescent="0.3">
      <c r="B1" s="441" t="s">
        <v>104</v>
      </c>
      <c r="C1" s="441"/>
      <c r="D1" s="441"/>
      <c r="E1" s="441"/>
      <c r="F1" s="441"/>
      <c r="G1" s="441"/>
      <c r="H1" s="441"/>
      <c r="I1" s="118"/>
      <c r="J1" s="441" t="s">
        <v>105</v>
      </c>
      <c r="K1" s="441"/>
      <c r="L1" s="441"/>
      <c r="M1" s="441"/>
      <c r="N1" s="441"/>
      <c r="O1" s="441"/>
    </row>
    <row r="2" spans="2:83" ht="25.05" customHeight="1" thickBot="1" x14ac:dyDescent="0.35"/>
    <row r="3" spans="2:83" ht="25.05" customHeight="1" thickBot="1" x14ac:dyDescent="0.35">
      <c r="B3" s="426" t="s">
        <v>121</v>
      </c>
      <c r="C3" s="427"/>
      <c r="D3" s="427"/>
      <c r="E3" s="481">
        <v>2600</v>
      </c>
      <c r="F3" s="434"/>
      <c r="G3" s="434"/>
      <c r="H3" s="435"/>
      <c r="J3" s="444" t="s">
        <v>263</v>
      </c>
      <c r="K3" s="445"/>
      <c r="N3" s="323"/>
      <c r="O3" s="323"/>
      <c r="R3" s="3"/>
      <c r="S3" s="3"/>
      <c r="T3" s="3"/>
      <c r="V3" s="291"/>
      <c r="W3" s="517" t="s">
        <v>417</v>
      </c>
      <c r="X3" s="517"/>
      <c r="Y3" s="517"/>
      <c r="Z3" s="417" t="s">
        <v>418</v>
      </c>
      <c r="AA3" s="417"/>
      <c r="AB3" s="291"/>
      <c r="AC3" s="291"/>
      <c r="BE3" s="186" t="s">
        <v>418</v>
      </c>
    </row>
    <row r="4" spans="2:83" ht="25.05" customHeight="1" x14ac:dyDescent="0.3">
      <c r="B4" s="428" t="s">
        <v>120</v>
      </c>
      <c r="C4" s="429"/>
      <c r="D4" s="429"/>
      <c r="E4" s="480">
        <v>800</v>
      </c>
      <c r="F4" s="436"/>
      <c r="G4" s="436"/>
      <c r="H4" s="437"/>
      <c r="J4" s="17" t="s">
        <v>13</v>
      </c>
      <c r="K4" s="231">
        <f>IF(E8=BV19,E3-82,E3-74)</f>
        <v>2518</v>
      </c>
      <c r="R4" s="396" t="s">
        <v>453</v>
      </c>
    </row>
    <row r="5" spans="2:83" ht="25.05" customHeight="1" thickBot="1" x14ac:dyDescent="0.35">
      <c r="B5" s="428" t="s">
        <v>442</v>
      </c>
      <c r="C5" s="429"/>
      <c r="D5" s="429"/>
      <c r="E5" s="482">
        <v>0</v>
      </c>
      <c r="F5" s="384"/>
      <c r="G5" s="384"/>
      <c r="H5" s="385"/>
      <c r="J5" s="119" t="s">
        <v>14</v>
      </c>
      <c r="K5" s="232">
        <f>ROUNDDOWN(E4/E9,0)</f>
        <v>800</v>
      </c>
      <c r="R5" s="397"/>
      <c r="AZ5" s="111" t="s">
        <v>575</v>
      </c>
      <c r="BA5" s="111"/>
      <c r="BB5" s="111"/>
      <c r="BC5" s="139">
        <v>5350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</row>
    <row r="6" spans="2:83" ht="25.05" customHeight="1" thickBot="1" x14ac:dyDescent="0.35">
      <c r="B6" s="428" t="s">
        <v>546</v>
      </c>
      <c r="C6" s="429"/>
      <c r="D6" s="429"/>
      <c r="E6" s="482">
        <v>0</v>
      </c>
      <c r="F6" s="384"/>
      <c r="G6" s="384"/>
      <c r="H6" s="385"/>
      <c r="AZ6" s="111" t="s">
        <v>576</v>
      </c>
      <c r="BA6" s="111"/>
      <c r="BB6" s="111"/>
      <c r="BC6" s="111">
        <v>5350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  <c r="BV6" s="39"/>
      <c r="BX6" s="2"/>
      <c r="BY6" s="1" t="s">
        <v>451</v>
      </c>
      <c r="BZ6" s="1" t="s">
        <v>237</v>
      </c>
      <c r="CA6" s="2">
        <v>2</v>
      </c>
    </row>
    <row r="7" spans="2:83" ht="25.05" customHeight="1" x14ac:dyDescent="0.3">
      <c r="B7" s="428" t="s">
        <v>122</v>
      </c>
      <c r="C7" s="429"/>
      <c r="D7" s="429"/>
      <c r="E7" s="533" t="s">
        <v>132</v>
      </c>
      <c r="F7" s="386"/>
      <c r="G7" s="386"/>
      <c r="H7" s="387"/>
      <c r="J7" s="503" t="s">
        <v>181</v>
      </c>
      <c r="K7" s="504"/>
      <c r="L7" s="504"/>
      <c r="M7" s="504"/>
      <c r="N7" s="318"/>
      <c r="O7" s="242"/>
      <c r="P7" s="212"/>
      <c r="Q7" s="212"/>
      <c r="R7" s="202"/>
      <c r="S7" s="146"/>
      <c r="T7" s="283"/>
      <c r="U7" s="418" t="s">
        <v>100</v>
      </c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9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  <c r="BV7" s="39"/>
      <c r="BY7" s="1" t="s">
        <v>452</v>
      </c>
      <c r="BZ7" s="1" t="s">
        <v>253</v>
      </c>
    </row>
    <row r="8" spans="2:83" ht="25.05" customHeight="1" x14ac:dyDescent="0.3">
      <c r="B8" s="497" t="s">
        <v>123</v>
      </c>
      <c r="C8" s="498"/>
      <c r="D8" s="498"/>
      <c r="E8" s="526" t="s">
        <v>586</v>
      </c>
      <c r="F8" s="527"/>
      <c r="G8" s="527"/>
      <c r="H8" s="528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241"/>
      <c r="Q8" s="241"/>
      <c r="R8" s="203" t="s">
        <v>24</v>
      </c>
      <c r="S8" s="110"/>
      <c r="T8" s="254"/>
      <c r="U8" s="81">
        <v>1000</v>
      </c>
      <c r="V8" s="81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  <c r="BY8" s="89"/>
    </row>
    <row r="9" spans="2:83" ht="25.05" customHeight="1" thickBot="1" x14ac:dyDescent="0.4">
      <c r="B9" s="457" t="s">
        <v>124</v>
      </c>
      <c r="C9" s="458"/>
      <c r="D9" s="458"/>
      <c r="E9" s="529">
        <v>1</v>
      </c>
      <c r="F9" s="459"/>
      <c r="G9" s="459"/>
      <c r="H9" s="460"/>
      <c r="J9" s="18" t="s">
        <v>513</v>
      </c>
      <c r="K9" s="181" t="s">
        <v>534</v>
      </c>
      <c r="L9" s="98">
        <f>K4-32</f>
        <v>2486</v>
      </c>
      <c r="M9" s="99">
        <f>E9*2</f>
        <v>2</v>
      </c>
      <c r="N9" s="99"/>
      <c r="O9" s="269">
        <f>IF(L9&gt;2650,M9,M9/2)</f>
        <v>1</v>
      </c>
      <c r="P9" s="213"/>
      <c r="Q9" s="213"/>
      <c r="R9" s="204">
        <f>O9*BT9</f>
        <v>5840.38</v>
      </c>
      <c r="S9" s="199"/>
      <c r="T9" s="322" t="str">
        <f>J9</f>
        <v>Вертикальный профиль</v>
      </c>
      <c r="U9" s="99">
        <f>IF($Z$3=$CE$21,AZ9,IF($Z$3=$CE$27,AZ37,IF($Z$3=$CE$28,AZ52,AZ22)))</f>
        <v>0</v>
      </c>
      <c r="V9" s="99">
        <f t="shared" ref="V9:AF9" si="0">IF($Z$3=$CE$21,BA9,IF($Z$3=$CE$27,BA37,IF($Z$3=$CE$28,BA52,BA22)))</f>
        <v>0</v>
      </c>
      <c r="W9" s="99">
        <f t="shared" si="0"/>
        <v>0</v>
      </c>
      <c r="X9" s="99">
        <f t="shared" si="0"/>
        <v>0</v>
      </c>
      <c r="Y9" s="99">
        <f t="shared" si="0"/>
        <v>0</v>
      </c>
      <c r="Z9" s="99">
        <f t="shared" si="0"/>
        <v>0</v>
      </c>
      <c r="AA9" s="99">
        <f t="shared" si="0"/>
        <v>0</v>
      </c>
      <c r="AB9" s="99">
        <f t="shared" si="0"/>
        <v>0</v>
      </c>
      <c r="AC9" s="99">
        <f t="shared" si="0"/>
        <v>0</v>
      </c>
      <c r="AD9" s="99">
        <f t="shared" si="0"/>
        <v>0</v>
      </c>
      <c r="AE9" s="99">
        <f t="shared" si="0"/>
        <v>0</v>
      </c>
      <c r="AF9" s="99">
        <f t="shared" si="0"/>
        <v>1</v>
      </c>
      <c r="AG9" s="96"/>
      <c r="AH9" s="320">
        <f>R9</f>
        <v>5840.38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0.46</v>
      </c>
      <c r="AY9" s="3">
        <f>AX9*L9*M9/1000</f>
        <v>2.2871199999999998</v>
      </c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250">
        <f>O9</f>
        <v>1</v>
      </c>
      <c r="BL9" s="111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5840.38</v>
      </c>
      <c r="CE9" s="1" t="s">
        <v>455</v>
      </c>
    </row>
    <row r="10" spans="2:83" ht="25.05" customHeight="1" x14ac:dyDescent="0.3">
      <c r="J10" s="18" t="s">
        <v>135</v>
      </c>
      <c r="K10" s="181" t="s">
        <v>535</v>
      </c>
      <c r="L10" s="98">
        <f>E4</f>
        <v>800</v>
      </c>
      <c r="M10" s="99">
        <v>1</v>
      </c>
      <c r="N10" s="367">
        <f>L10*M10</f>
        <v>800</v>
      </c>
      <c r="O10" s="321">
        <f>IF(E4&gt;BC5,0,BM10+IF(BL10&gt;0,1,0))</f>
        <v>1</v>
      </c>
      <c r="P10" s="213"/>
      <c r="Q10" s="213"/>
      <c r="R10" s="537">
        <f>O10*BT10</f>
        <v>6096.53</v>
      </c>
      <c r="S10" s="217"/>
      <c r="T10" s="525" t="str">
        <f>J10</f>
        <v>Направляющая верхняя</v>
      </c>
      <c r="U10" s="523">
        <f>IF($Z$3=$CE$21,AZ10,IF($Z$3=$CE$27,AZ38,IF($Z$3=$CE$28,AZ53,AZ23)))</f>
        <v>0</v>
      </c>
      <c r="V10" s="523">
        <f t="shared" ref="V10:AF10" si="1">IF($Z$3=$CE$21,BA10,IF($Z$3=$CE$27,BA38,IF($Z$3=$CE$28,BA53,BA23)))</f>
        <v>0</v>
      </c>
      <c r="W10" s="523">
        <f t="shared" si="1"/>
        <v>0</v>
      </c>
      <c r="X10" s="523">
        <f t="shared" si="1"/>
        <v>0</v>
      </c>
      <c r="Y10" s="523">
        <f t="shared" si="1"/>
        <v>1</v>
      </c>
      <c r="Z10" s="523">
        <f t="shared" si="1"/>
        <v>0</v>
      </c>
      <c r="AA10" s="523">
        <f t="shared" si="1"/>
        <v>0</v>
      </c>
      <c r="AB10" s="523">
        <f t="shared" si="1"/>
        <v>0</v>
      </c>
      <c r="AC10" s="523">
        <f t="shared" si="1"/>
        <v>0</v>
      </c>
      <c r="AD10" s="523">
        <f t="shared" si="1"/>
        <v>0</v>
      </c>
      <c r="AE10" s="523">
        <f t="shared" si="1"/>
        <v>0</v>
      </c>
      <c r="AF10" s="523">
        <f t="shared" si="1"/>
        <v>0</v>
      </c>
      <c r="AG10" s="425">
        <f>AU10</f>
        <v>2500</v>
      </c>
      <c r="AH10" s="524">
        <f>Y10*BT10*0.5+AE10*BT10</f>
        <v>3048.2649999999999</v>
      </c>
      <c r="AI10" s="345">
        <f>U10*U8</f>
        <v>0</v>
      </c>
      <c r="AJ10" s="345">
        <f t="shared" ref="AJ10:AT10" si="2">V10*V8</f>
        <v>0</v>
      </c>
      <c r="AK10" s="345">
        <f t="shared" si="2"/>
        <v>0</v>
      </c>
      <c r="AL10" s="345">
        <f t="shared" si="2"/>
        <v>0</v>
      </c>
      <c r="AM10" s="345">
        <f t="shared" si="2"/>
        <v>2500</v>
      </c>
      <c r="AN10" s="345">
        <f t="shared" si="2"/>
        <v>0</v>
      </c>
      <c r="AO10" s="345">
        <f t="shared" si="2"/>
        <v>0</v>
      </c>
      <c r="AP10" s="345">
        <f t="shared" si="2"/>
        <v>0</v>
      </c>
      <c r="AQ10" s="345">
        <f t="shared" si="2"/>
        <v>0</v>
      </c>
      <c r="AR10" s="345">
        <f t="shared" si="2"/>
        <v>0</v>
      </c>
      <c r="AS10" s="345">
        <f t="shared" si="2"/>
        <v>0</v>
      </c>
      <c r="AT10" s="345">
        <f t="shared" si="2"/>
        <v>0</v>
      </c>
      <c r="AU10" s="345">
        <f>SUM(AI10:AT10)</f>
        <v>2500</v>
      </c>
      <c r="AV10" s="345"/>
      <c r="AW10" s="345"/>
      <c r="AX10" s="3"/>
      <c r="AY10" s="3"/>
      <c r="AZ10" s="149"/>
      <c r="BA10" s="149"/>
      <c r="BB10" s="149"/>
      <c r="BC10" s="149"/>
      <c r="BD10" s="150">
        <f>IF(AND(BL10&gt;0,BL10&lt;=2500),1,0)</f>
        <v>1</v>
      </c>
      <c r="BE10" s="149"/>
      <c r="BF10" s="149"/>
      <c r="BG10" s="149"/>
      <c r="BH10" s="149"/>
      <c r="BI10" s="149"/>
      <c r="BJ10" s="150">
        <f>IF(AND(BL10&gt;2500,BL10&lt;=4950),BM10+1,BM10)</f>
        <v>0</v>
      </c>
      <c r="BK10" s="149"/>
      <c r="BL10" s="151">
        <f>N10-BC5*BM10</f>
        <v>800</v>
      </c>
      <c r="BM10" s="150">
        <f>INT(N10/BC5)</f>
        <v>0</v>
      </c>
      <c r="BN10" s="111"/>
      <c r="BO10" s="111"/>
      <c r="BP10" s="111"/>
      <c r="BQ10" s="111"/>
      <c r="BR10" s="111"/>
      <c r="BS10" s="3"/>
      <c r="BT10" s="3">
        <f t="array" ref="BT10">IFERROR(INDEX(Цены!J:J,MATCH(J10&amp;$E$7,Цены!C:C&amp;Цены!G:G,0)),Цены!J33)</f>
        <v>6096.53</v>
      </c>
      <c r="BV10" s="55" t="s">
        <v>10</v>
      </c>
      <c r="CE10" s="1" t="s">
        <v>453</v>
      </c>
    </row>
    <row r="11" spans="2:83" ht="25.05" customHeight="1" x14ac:dyDescent="0.3">
      <c r="J11" s="18" t="s">
        <v>533</v>
      </c>
      <c r="K11" s="181" t="s">
        <v>536</v>
      </c>
      <c r="L11" s="98">
        <f>L10</f>
        <v>800</v>
      </c>
      <c r="M11" s="99">
        <v>2</v>
      </c>
      <c r="N11" s="98">
        <f>L11*M11</f>
        <v>1600</v>
      </c>
      <c r="O11" s="269">
        <f>IF(E4&gt;BC5,0,BM12+IF(BL12&gt;0,1,0))</f>
        <v>1</v>
      </c>
      <c r="P11" s="213"/>
      <c r="Q11" s="213"/>
      <c r="R11" s="538"/>
      <c r="S11" s="217"/>
      <c r="T11" s="525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425"/>
      <c r="AH11" s="524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M11" s="3"/>
      <c r="BN11" s="148"/>
      <c r="BO11" s="111"/>
      <c r="BP11" s="111"/>
      <c r="BQ11" s="111"/>
      <c r="BR11" s="111"/>
      <c r="BS11" s="3"/>
      <c r="BT11" s="3"/>
      <c r="BV11" s="55" t="s">
        <v>11</v>
      </c>
      <c r="CE11" s="1" t="s">
        <v>454</v>
      </c>
    </row>
    <row r="12" spans="2:83" ht="25.05" customHeight="1" thickBot="1" x14ac:dyDescent="0.35">
      <c r="J12" s="18" t="s">
        <v>532</v>
      </c>
      <c r="K12" s="181" t="s">
        <v>537</v>
      </c>
      <c r="L12" s="98">
        <f>K5-24</f>
        <v>776</v>
      </c>
      <c r="M12" s="99">
        <f>E9</f>
        <v>1</v>
      </c>
      <c r="N12" s="98">
        <f>L12*M12</f>
        <v>776</v>
      </c>
      <c r="O12" s="269">
        <f>BM13+IF(BL13&gt;0,1,0)</f>
        <v>1</v>
      </c>
      <c r="P12" s="213"/>
      <c r="Q12" s="213"/>
      <c r="R12" s="204" t="e">
        <f>O11*BT12</f>
        <v>#N/A</v>
      </c>
      <c r="S12" s="199"/>
      <c r="T12" s="322" t="str">
        <f>J11</f>
        <v>Накладка декоративная направляющей</v>
      </c>
      <c r="U12" s="99">
        <f>IF($Z$3=$CE$21,AZ12,IF($Z$3=$CE$27,AZ40,IF($Z$3=$CE$28,AZ55,AZ25)))</f>
        <v>0</v>
      </c>
      <c r="V12" s="99">
        <f t="shared" ref="V12:AF12" si="3">IF($Z$3=$CE$21,BA12,IF($Z$3=$CE$27,BA40,IF($Z$3=$CE$28,BA55,BA25)))</f>
        <v>0</v>
      </c>
      <c r="W12" s="99">
        <f t="shared" si="3"/>
        <v>0</v>
      </c>
      <c r="X12" s="99">
        <f t="shared" si="3"/>
        <v>0</v>
      </c>
      <c r="Y12" s="99">
        <f t="shared" si="3"/>
        <v>1</v>
      </c>
      <c r="Z12" s="99">
        <f t="shared" si="3"/>
        <v>0</v>
      </c>
      <c r="AA12" s="99">
        <f t="shared" si="3"/>
        <v>0</v>
      </c>
      <c r="AB12" s="99">
        <f t="shared" si="3"/>
        <v>0</v>
      </c>
      <c r="AC12" s="99">
        <f t="shared" si="3"/>
        <v>0</v>
      </c>
      <c r="AD12" s="99">
        <f t="shared" si="3"/>
        <v>0</v>
      </c>
      <c r="AE12" s="99">
        <f t="shared" si="3"/>
        <v>0</v>
      </c>
      <c r="AF12" s="99">
        <f t="shared" si="3"/>
        <v>0</v>
      </c>
      <c r="AG12" s="98">
        <f>AU12</f>
        <v>2500</v>
      </c>
      <c r="AH12" s="315" t="e">
        <f>(Y12*0.5+AE12)*BT12</f>
        <v>#N/A</v>
      </c>
      <c r="AI12" s="345">
        <f>U12*U8</f>
        <v>0</v>
      </c>
      <c r="AJ12" s="345">
        <f t="shared" ref="AJ12:AT12" si="4">V12*V8</f>
        <v>0</v>
      </c>
      <c r="AK12" s="345">
        <f t="shared" si="4"/>
        <v>0</v>
      </c>
      <c r="AL12" s="345">
        <f t="shared" si="4"/>
        <v>0</v>
      </c>
      <c r="AM12" s="345">
        <f t="shared" si="4"/>
        <v>2500</v>
      </c>
      <c r="AN12" s="345">
        <f t="shared" si="4"/>
        <v>0</v>
      </c>
      <c r="AO12" s="345">
        <f t="shared" si="4"/>
        <v>0</v>
      </c>
      <c r="AP12" s="345">
        <f t="shared" si="4"/>
        <v>0</v>
      </c>
      <c r="AQ12" s="345">
        <f t="shared" si="4"/>
        <v>0</v>
      </c>
      <c r="AR12" s="345">
        <f t="shared" si="4"/>
        <v>0</v>
      </c>
      <c r="AS12" s="345">
        <f t="shared" si="4"/>
        <v>0</v>
      </c>
      <c r="AT12" s="345">
        <f t="shared" si="4"/>
        <v>0</v>
      </c>
      <c r="AU12" s="345">
        <f t="shared" ref="AU12:AU15" si="5">SUM(AI12:AT12)</f>
        <v>2500</v>
      </c>
      <c r="AV12" s="336"/>
      <c r="AW12" s="336"/>
      <c r="AX12" s="288">
        <v>0.80700000000000005</v>
      </c>
      <c r="AY12" s="3">
        <f>AX12*L12*M12/1000</f>
        <v>0.62623200000000012</v>
      </c>
      <c r="AZ12" s="152"/>
      <c r="BA12" s="152"/>
      <c r="BB12" s="152"/>
      <c r="BC12" s="152"/>
      <c r="BD12" s="153">
        <f>IF(AND(BL12&gt;0,BL12&lt;=2500),1,0)</f>
        <v>1</v>
      </c>
      <c r="BE12" s="152"/>
      <c r="BF12" s="152"/>
      <c r="BG12" s="152"/>
      <c r="BH12" s="152"/>
      <c r="BI12" s="152"/>
      <c r="BJ12" s="153">
        <f>IF(AND(BL12&gt;2500,BL12&lt;=5025),BM12+1,BM12)</f>
        <v>0</v>
      </c>
      <c r="BK12" s="152"/>
      <c r="BL12" s="154">
        <f>N11-BC6*BM12</f>
        <v>1600</v>
      </c>
      <c r="BM12" s="153">
        <f>INT(N11/BC6)</f>
        <v>0</v>
      </c>
      <c r="BN12" s="111"/>
      <c r="BO12" s="111"/>
      <c r="BP12" s="111"/>
      <c r="BQ12" s="111"/>
      <c r="BR12" s="111"/>
      <c r="BS12" s="3"/>
      <c r="BT12" s="3" t="e">
        <f t="array" ref="BT12">INDEX(Цены!J:J,MATCH(J11&amp;$E$7,Цены!C:C&amp;Цены!G:G,0))</f>
        <v>#N/A</v>
      </c>
      <c r="BV12" s="55" t="s">
        <v>12</v>
      </c>
    </row>
    <row r="13" spans="2:83" ht="25.05" customHeight="1" thickBot="1" x14ac:dyDescent="0.35">
      <c r="B13" s="48"/>
      <c r="C13" s="49"/>
      <c r="D13" s="49"/>
      <c r="E13" s="49"/>
      <c r="F13" s="49"/>
      <c r="G13" s="49"/>
      <c r="H13" s="50"/>
      <c r="J13" s="18" t="s">
        <v>538</v>
      </c>
      <c r="K13" s="181" t="s">
        <v>539</v>
      </c>
      <c r="L13" s="98">
        <f>L12</f>
        <v>776</v>
      </c>
      <c r="M13" s="99">
        <f>E9</f>
        <v>1</v>
      </c>
      <c r="N13" s="98">
        <f>L13*M13</f>
        <v>776</v>
      </c>
      <c r="O13" s="269">
        <f>BM13+IF(BL13&gt;0,1,0)</f>
        <v>1</v>
      </c>
      <c r="P13" s="213"/>
      <c r="Q13" s="213"/>
      <c r="R13" s="204" t="e">
        <f>O13*BT13</f>
        <v>#N/A</v>
      </c>
      <c r="S13" s="199"/>
      <c r="T13" s="322" t="str">
        <f t="shared" ref="T13" si="6">J13</f>
        <v>Горизонтальный нижний профиль</v>
      </c>
      <c r="U13" s="99">
        <f t="shared" ref="U13:U15" si="7">IF($Z$3=$CE$21,AZ13,IF($Z$3=$CE$27,AZ41,IF($Z$3=$CE$28,AZ56,AZ26)))</f>
        <v>1</v>
      </c>
      <c r="V13" s="99">
        <f t="shared" ref="V13:V15" si="8">IF($Z$3=$CE$21,BA13,IF($Z$3=$CE$27,BA41,IF($Z$3=$CE$28,BA56,BA26)))</f>
        <v>0</v>
      </c>
      <c r="W13" s="99">
        <f t="shared" ref="W13:W15" si="9">IF($Z$3=$CE$21,BB13,IF($Z$3=$CE$27,BB41,IF($Z$3=$CE$28,BB56,BB26)))</f>
        <v>0</v>
      </c>
      <c r="X13" s="99">
        <f t="shared" ref="X13:X15" si="10">IF($Z$3=$CE$21,BC13,IF($Z$3=$CE$27,BC41,IF($Z$3=$CE$28,BC56,BC26)))</f>
        <v>0</v>
      </c>
      <c r="Y13" s="99">
        <f t="shared" ref="Y13:Y15" si="11">IF($Z$3=$CE$21,BD13,IF($Z$3=$CE$27,BD41,IF($Z$3=$CE$28,BD56,BD26)))</f>
        <v>0</v>
      </c>
      <c r="Z13" s="99">
        <f t="shared" ref="Z13:Z15" si="12">IF($Z$3=$CE$21,BE13,IF($Z$3=$CE$27,BE41,IF($Z$3=$CE$28,BE56,BE26)))</f>
        <v>0</v>
      </c>
      <c r="AA13" s="99">
        <f t="shared" ref="AA13:AA15" si="13">IF($Z$3=$CE$21,BF13,IF($Z$3=$CE$27,BF41,IF($Z$3=$CE$28,BF56,BF26)))</f>
        <v>0</v>
      </c>
      <c r="AB13" s="99">
        <f t="shared" ref="AB13:AB15" si="14">IF($Z$3=$CE$21,BG13,IF($Z$3=$CE$27,BG41,IF($Z$3=$CE$28,BG56,BG26)))</f>
        <v>0</v>
      </c>
      <c r="AC13" s="99">
        <f t="shared" ref="AC13:AC15" si="15">IF($Z$3=$CE$21,BH13,IF($Z$3=$CE$27,BH41,IF($Z$3=$CE$28,BH56,BH26)))</f>
        <v>0</v>
      </c>
      <c r="AD13" s="99">
        <f t="shared" ref="AD13:AD15" si="16">IF($Z$3=$CE$21,BI13,IF($Z$3=$CE$27,BI41,IF($Z$3=$CE$28,BI56,BI26)))</f>
        <v>0</v>
      </c>
      <c r="AE13" s="99">
        <f t="shared" ref="AE13:AE15" si="17">IF($Z$3=$CE$21,BJ13,IF($Z$3=$CE$27,BJ41,IF($Z$3=$CE$28,BJ56,BJ26)))</f>
        <v>0</v>
      </c>
      <c r="AF13" s="99">
        <f t="shared" ref="AF13:AF15" si="18">IF($Z$3=$CE$21,BK13,IF($Z$3=$CE$27,BK41,IF($Z$3=$CE$28,BK56,BK26)))</f>
        <v>0</v>
      </c>
      <c r="AG13" s="98">
        <f t="shared" ref="AG13:AG15" si="19">AU13</f>
        <v>1000</v>
      </c>
      <c r="AH13" s="315" t="e">
        <f>(U13*0.2+V13*0.25+X13*0.4+Y13*0.5+AA13*0.6+AC13*0.75+AD13*0.8+AE13)*BT13</f>
        <v>#N/A</v>
      </c>
      <c r="AI13" s="345">
        <f>U13*U8</f>
        <v>1000</v>
      </c>
      <c r="AJ13" s="345">
        <f t="shared" ref="AJ13:AT13" si="20">V13*V8</f>
        <v>0</v>
      </c>
      <c r="AK13" s="345">
        <f t="shared" si="20"/>
        <v>0</v>
      </c>
      <c r="AL13" s="345">
        <f t="shared" si="20"/>
        <v>0</v>
      </c>
      <c r="AM13" s="345">
        <f t="shared" si="20"/>
        <v>0</v>
      </c>
      <c r="AN13" s="345">
        <f t="shared" si="20"/>
        <v>0</v>
      </c>
      <c r="AO13" s="345">
        <f t="shared" si="20"/>
        <v>0</v>
      </c>
      <c r="AP13" s="345">
        <f t="shared" si="20"/>
        <v>0</v>
      </c>
      <c r="AQ13" s="345">
        <f t="shared" si="20"/>
        <v>0</v>
      </c>
      <c r="AR13" s="345">
        <f t="shared" si="20"/>
        <v>0</v>
      </c>
      <c r="AS13" s="345">
        <f t="shared" si="20"/>
        <v>0</v>
      </c>
      <c r="AT13" s="345">
        <f t="shared" si="20"/>
        <v>0</v>
      </c>
      <c r="AU13" s="345">
        <f t="shared" si="5"/>
        <v>1000</v>
      </c>
      <c r="AV13" s="336"/>
      <c r="AW13" s="336"/>
      <c r="AX13" s="288">
        <v>0.64600000000000002</v>
      </c>
      <c r="AY13" s="3">
        <f>AX13*L13*M13/1000</f>
        <v>0.50129599999999996</v>
      </c>
      <c r="AZ13" s="111">
        <f>IF(AND(BL13&gt;0,BL13&lt;=1000),1,0)</f>
        <v>1</v>
      </c>
      <c r="BA13" s="113"/>
      <c r="BB13" s="113"/>
      <c r="BC13" s="111">
        <f>IF(AND(BL13&gt;1000,BL13&lt;=2000),1,0)</f>
        <v>0</v>
      </c>
      <c r="BD13" s="113"/>
      <c r="BE13" s="113"/>
      <c r="BF13" s="111">
        <f>IF(AND(BL13&gt;2000,BL13&lt;=3000),1,0)</f>
        <v>0</v>
      </c>
      <c r="BG13" s="113"/>
      <c r="BH13" s="113"/>
      <c r="BI13" s="111">
        <f>IF(AND(BL13&gt;3000,BL13&lt;=4000),1,0)</f>
        <v>0</v>
      </c>
      <c r="BJ13" s="111">
        <f>IF(AND(BL13&gt;4000,BL13&lt;=4950),BM13+1,BM13)</f>
        <v>0</v>
      </c>
      <c r="BK13" s="113"/>
      <c r="BL13" s="139">
        <f>N13-INT($BC$5/L13)*L13*BM13</f>
        <v>776</v>
      </c>
      <c r="BM13" s="111">
        <f>INT(M13/INT($BC$5/L13))</f>
        <v>0</v>
      </c>
      <c r="BN13" s="111"/>
      <c r="BO13" s="111"/>
      <c r="BP13" s="111"/>
      <c r="BQ13" s="111"/>
      <c r="BR13" s="141"/>
      <c r="BS13" s="121"/>
      <c r="BT13" s="3" t="e">
        <f t="array" ref="BT13">INDEX(Цены!J:J,MATCH(J13&amp;$E$7,Цены!C:C&amp;Цены!G:G,0))</f>
        <v>#N/A</v>
      </c>
    </row>
    <row r="14" spans="2:83" ht="25.05" customHeight="1" thickBot="1" x14ac:dyDescent="0.4">
      <c r="B14" s="51" t="s">
        <v>107</v>
      </c>
      <c r="C14" s="52">
        <f>E5+1</f>
        <v>1</v>
      </c>
      <c r="D14" s="53"/>
      <c r="E14" s="82"/>
      <c r="F14" s="82"/>
      <c r="G14" s="82"/>
      <c r="H14" s="54"/>
      <c r="I14" s="66"/>
      <c r="J14" s="18" t="s">
        <v>540</v>
      </c>
      <c r="K14" s="181" t="s">
        <v>541</v>
      </c>
      <c r="L14" s="98">
        <f>IF(E5&gt;0,L13,0)</f>
        <v>0</v>
      </c>
      <c r="M14" s="99">
        <f>E9*E5</f>
        <v>0</v>
      </c>
      <c r="N14" s="98">
        <f>L14*M14</f>
        <v>0</v>
      </c>
      <c r="O14" s="269">
        <f>BM14+IF(BL14&gt;0,1,0)</f>
        <v>0</v>
      </c>
      <c r="P14" s="213"/>
      <c r="Q14" s="213"/>
      <c r="R14" s="204" t="e">
        <f>O14*BT14</f>
        <v>#N/A</v>
      </c>
      <c r="S14" s="199"/>
      <c r="T14" s="322" t="str">
        <f>J14</f>
        <v>Горизонтальный разделительный  профиль</v>
      </c>
      <c r="U14" s="99">
        <f t="shared" si="7"/>
        <v>0</v>
      </c>
      <c r="V14" s="99">
        <f t="shared" si="8"/>
        <v>0</v>
      </c>
      <c r="W14" s="99">
        <f t="shared" si="9"/>
        <v>0</v>
      </c>
      <c r="X14" s="99">
        <f t="shared" si="10"/>
        <v>0</v>
      </c>
      <c r="Y14" s="99">
        <f t="shared" si="11"/>
        <v>0</v>
      </c>
      <c r="Z14" s="99">
        <f t="shared" si="12"/>
        <v>0</v>
      </c>
      <c r="AA14" s="99">
        <f t="shared" si="13"/>
        <v>0</v>
      </c>
      <c r="AB14" s="99">
        <f t="shared" si="14"/>
        <v>0</v>
      </c>
      <c r="AC14" s="99">
        <f t="shared" si="15"/>
        <v>0</v>
      </c>
      <c r="AD14" s="99">
        <f t="shared" si="16"/>
        <v>0</v>
      </c>
      <c r="AE14" s="99">
        <f t="shared" si="17"/>
        <v>0</v>
      </c>
      <c r="AF14" s="99">
        <f t="shared" si="18"/>
        <v>0</v>
      </c>
      <c r="AG14" s="98">
        <f t="shared" si="19"/>
        <v>0</v>
      </c>
      <c r="AH14" s="175" t="e">
        <f>IF(E6=BY6,AW15,AV15)</f>
        <v>#N/A</v>
      </c>
      <c r="AI14" s="345">
        <f>U14*U8</f>
        <v>0</v>
      </c>
      <c r="AJ14" s="345">
        <f t="shared" ref="AJ14:AT14" si="21">V14*V8</f>
        <v>0</v>
      </c>
      <c r="AK14" s="345">
        <f t="shared" si="21"/>
        <v>0</v>
      </c>
      <c r="AL14" s="345">
        <f t="shared" si="21"/>
        <v>0</v>
      </c>
      <c r="AM14" s="345">
        <f t="shared" si="21"/>
        <v>0</v>
      </c>
      <c r="AN14" s="345">
        <f t="shared" si="21"/>
        <v>0</v>
      </c>
      <c r="AO14" s="345">
        <f t="shared" si="21"/>
        <v>0</v>
      </c>
      <c r="AP14" s="345">
        <f t="shared" si="21"/>
        <v>0</v>
      </c>
      <c r="AQ14" s="345">
        <f t="shared" si="21"/>
        <v>0</v>
      </c>
      <c r="AR14" s="345">
        <f t="shared" si="21"/>
        <v>0</v>
      </c>
      <c r="AS14" s="345">
        <f t="shared" si="21"/>
        <v>0</v>
      </c>
      <c r="AT14" s="345">
        <f t="shared" si="21"/>
        <v>0</v>
      </c>
      <c r="AU14" s="345">
        <f t="shared" si="5"/>
        <v>0</v>
      </c>
      <c r="AV14" s="111" t="s">
        <v>259</v>
      </c>
      <c r="AW14" s="141" t="s">
        <v>260</v>
      </c>
      <c r="AX14" s="289">
        <v>0.47899999999999998</v>
      </c>
      <c r="AY14" s="3">
        <f>AX14*L14*M14/1000</f>
        <v>0</v>
      </c>
      <c r="AZ14" s="142">
        <f>IF(AND(J14=BY7,BL14&gt;0,BL14&lt;=1000),1,0)</f>
        <v>0</v>
      </c>
      <c r="BA14" s="113"/>
      <c r="BB14" s="143">
        <f>IF(AND(J14=BY6,BO14&gt;0,BO14&lt;=1800),1,0)</f>
        <v>0</v>
      </c>
      <c r="BC14" s="142">
        <f>IF(AND(J14=BY7,BL14&gt;1000,BL14&lt;=2000),1,0)</f>
        <v>0</v>
      </c>
      <c r="BD14" s="113"/>
      <c r="BE14" s="143">
        <f>IF(AND(J14=BY6,BO14&gt;1800,BO14&lt;=2700),1,0)</f>
        <v>0</v>
      </c>
      <c r="BF14" s="142">
        <f>IF(AND(J14=BY7,BL14&gt;2000,BL14&lt;=3000),1,0)</f>
        <v>0</v>
      </c>
      <c r="BG14" s="143">
        <f>IF(AND(J14=BY6,BO14&gt;2700,BO14&lt;=3600),1,0)</f>
        <v>0</v>
      </c>
      <c r="BH14" s="113"/>
      <c r="BI14" s="142">
        <f>IF(AND(J14=BY7,BL14&gt;3000,BL14&lt;=4000),1,0)</f>
        <v>0</v>
      </c>
      <c r="BJ14" s="142">
        <f>IF(AND(J14=BY7,BL14&gt;4000,BL14&lt;=4950),BM14+1,BM14)</f>
        <v>0</v>
      </c>
      <c r="BK14" s="143">
        <f>IF(AND(J14=BY6,BO14&gt;3600,BO14&lt;=5350),BP14+1,BP14)</f>
        <v>0</v>
      </c>
      <c r="BL14" s="139">
        <f>IF(E5&lt;&gt;0,N14-INT(BC5/L14)*L14*BM14,0)</f>
        <v>0</v>
      </c>
      <c r="BM14" s="111">
        <f>IF(E5&lt;&gt;0,INT(M14/INT(BC5/L14)),0)</f>
        <v>0</v>
      </c>
      <c r="BN14" s="111"/>
      <c r="BO14" s="111">
        <f>IF(E5&lt;&gt;0,N14-INT(BC7/L14)*L14*BP14,0)</f>
        <v>0</v>
      </c>
      <c r="BP14" s="111">
        <f>IF(AND(E6=BY6,E5&lt;&gt;0),INT(M14/INT(BC7/L14)),0)</f>
        <v>0</v>
      </c>
      <c r="BQ14" s="111"/>
      <c r="BR14" s="111"/>
      <c r="BS14" s="3"/>
      <c r="BT14" s="3" t="e">
        <f t="array" ref="BT14">INDEX(Цены!J:J,MATCH(J14&amp;$E$7,Цены!C:C&amp;Цены!G:G,0))</f>
        <v>#N/A</v>
      </c>
    </row>
    <row r="15" spans="2:83" ht="25.05" customHeight="1" thickBot="1" x14ac:dyDescent="0.4">
      <c r="B15" s="56"/>
      <c r="C15" s="57"/>
      <c r="D15" s="57"/>
      <c r="E15" s="57"/>
      <c r="F15" s="57"/>
      <c r="G15" s="57"/>
      <c r="H15" s="58"/>
      <c r="I15" s="66"/>
      <c r="J15" s="18" t="s">
        <v>542</v>
      </c>
      <c r="K15" s="181" t="s">
        <v>543</v>
      </c>
      <c r="L15" s="98">
        <f>K4</f>
        <v>2518</v>
      </c>
      <c r="M15" s="99">
        <f>M9</f>
        <v>2</v>
      </c>
      <c r="N15" s="98"/>
      <c r="O15" s="269">
        <f>O9</f>
        <v>1</v>
      </c>
      <c r="P15" s="213"/>
      <c r="Q15" s="213"/>
      <c r="R15" s="204">
        <f>O15*BT15</f>
        <v>1015.61</v>
      </c>
      <c r="S15" s="199"/>
      <c r="T15" s="322" t="str">
        <f>J15</f>
        <v>Накладка декоративная профиля</v>
      </c>
      <c r="U15" s="99">
        <f t="shared" si="7"/>
        <v>0</v>
      </c>
      <c r="V15" s="99">
        <f t="shared" si="8"/>
        <v>0</v>
      </c>
      <c r="W15" s="99">
        <f t="shared" si="9"/>
        <v>0</v>
      </c>
      <c r="X15" s="99">
        <f t="shared" si="10"/>
        <v>0</v>
      </c>
      <c r="Y15" s="99">
        <f t="shared" si="11"/>
        <v>0</v>
      </c>
      <c r="Z15" s="99">
        <f t="shared" si="12"/>
        <v>0</v>
      </c>
      <c r="AA15" s="99">
        <f t="shared" si="13"/>
        <v>0</v>
      </c>
      <c r="AB15" s="99">
        <f t="shared" si="14"/>
        <v>0</v>
      </c>
      <c r="AC15" s="99">
        <f t="shared" si="15"/>
        <v>0</v>
      </c>
      <c r="AD15" s="99">
        <f t="shared" si="16"/>
        <v>0</v>
      </c>
      <c r="AE15" s="99">
        <f t="shared" si="17"/>
        <v>0</v>
      </c>
      <c r="AF15" s="99">
        <f t="shared" si="18"/>
        <v>0</v>
      </c>
      <c r="AG15" s="98">
        <f t="shared" si="19"/>
        <v>0</v>
      </c>
      <c r="AH15" s="185">
        <f>Z15*BT15*0.5+AF15*BT15</f>
        <v>0</v>
      </c>
      <c r="AI15" s="345">
        <f>U15*U8</f>
        <v>0</v>
      </c>
      <c r="AJ15" s="345">
        <f t="shared" ref="AJ15:AT15" si="22">V15*V8</f>
        <v>0</v>
      </c>
      <c r="AK15" s="345">
        <f t="shared" si="22"/>
        <v>0</v>
      </c>
      <c r="AL15" s="345">
        <f t="shared" si="22"/>
        <v>0</v>
      </c>
      <c r="AM15" s="345">
        <f t="shared" si="22"/>
        <v>0</v>
      </c>
      <c r="AN15" s="345">
        <f t="shared" si="22"/>
        <v>0</v>
      </c>
      <c r="AO15" s="345">
        <f t="shared" si="22"/>
        <v>0</v>
      </c>
      <c r="AP15" s="345">
        <f t="shared" si="22"/>
        <v>0</v>
      </c>
      <c r="AQ15" s="345">
        <f t="shared" si="22"/>
        <v>0</v>
      </c>
      <c r="AR15" s="345">
        <f t="shared" si="22"/>
        <v>0</v>
      </c>
      <c r="AS15" s="345">
        <f t="shared" si="22"/>
        <v>0</v>
      </c>
      <c r="AT15" s="345">
        <f t="shared" si="22"/>
        <v>0</v>
      </c>
      <c r="AU15" s="345">
        <f t="shared" si="5"/>
        <v>0</v>
      </c>
      <c r="AV15" s="200" t="e">
        <f>(U14*0.2+V14*0.25+X14*0.4+Y14*0.5+AA14*0.6+AC14*0.75+AD14*0.8+AE14)*BT14</f>
        <v>#N/A</v>
      </c>
      <c r="AW15" s="200" t="e">
        <f>(W14*0.34+Z14*0.5+AB14*0.67+AF14)*BT14</f>
        <v>#N/A</v>
      </c>
      <c r="AX15" s="289">
        <v>0.216</v>
      </c>
      <c r="AY15" s="3">
        <f>AX15*L15*M15/1000</f>
        <v>1.0877760000000001</v>
      </c>
      <c r="AZ15" s="144"/>
      <c r="BA15" s="144"/>
      <c r="BB15" s="144"/>
      <c r="BC15" s="144"/>
      <c r="BD15" s="144"/>
      <c r="BE15" s="111">
        <f>IF(AND(BO15&gt;0,BO15&lt;=2700),1,0)</f>
        <v>0</v>
      </c>
      <c r="BF15" s="144"/>
      <c r="BG15" s="144"/>
      <c r="BH15" s="144"/>
      <c r="BI15" s="144"/>
      <c r="BJ15" s="144"/>
      <c r="BK15" s="111">
        <f>IF(AND(BO15&gt;2700,BO15&lt;=5350),BP15+1,BP15)</f>
        <v>0</v>
      </c>
      <c r="BL15" s="139"/>
      <c r="BM15" s="111"/>
      <c r="BN15" s="139"/>
      <c r="BO15" s="139">
        <f>N15-BC7*BM15</f>
        <v>0</v>
      </c>
      <c r="BP15" s="139">
        <f>INT(N15/BC7)</f>
        <v>0</v>
      </c>
      <c r="BQ15" s="139"/>
      <c r="BR15" s="139"/>
      <c r="BT15" s="3">
        <f>Цены!J87</f>
        <v>1015.61</v>
      </c>
      <c r="BV15" s="90" t="s">
        <v>90</v>
      </c>
    </row>
    <row r="16" spans="2:83" ht="25.05" customHeight="1" thickBot="1" x14ac:dyDescent="0.4">
      <c r="B16" s="56"/>
      <c r="C16" s="57"/>
      <c r="D16" s="57"/>
      <c r="E16" s="57"/>
      <c r="F16" s="57"/>
      <c r="G16" s="57"/>
      <c r="H16" s="58"/>
      <c r="I16" s="66"/>
      <c r="J16" s="18" t="s">
        <v>544</v>
      </c>
      <c r="K16" s="181" t="s">
        <v>545</v>
      </c>
      <c r="L16" s="98">
        <f>IF(E6&gt;0,L12,0)</f>
        <v>0</v>
      </c>
      <c r="M16" s="99">
        <f>E6*E9*2</f>
        <v>0</v>
      </c>
      <c r="N16" s="98">
        <f>L16*M16</f>
        <v>0</v>
      </c>
      <c r="O16" s="269">
        <f>BM16+IF(BL16&gt;0,1,0)</f>
        <v>0</v>
      </c>
      <c r="P16" s="209"/>
      <c r="Q16" s="209"/>
      <c r="R16" s="106" t="e">
        <f>SUM(R9:R15)</f>
        <v>#N/A</v>
      </c>
      <c r="S16" s="217"/>
      <c r="T16" s="286"/>
      <c r="U16" s="422" t="s">
        <v>103</v>
      </c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3"/>
      <c r="AH16" s="106" t="e">
        <f>SUM(AH9:AH15)</f>
        <v>#N/A</v>
      </c>
      <c r="AI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36"/>
      <c r="AW16" s="346"/>
      <c r="AX16" s="289">
        <v>0.16600000000000001</v>
      </c>
      <c r="AY16" s="3">
        <f>AX16*L16*M16/1000</f>
        <v>0</v>
      </c>
      <c r="BE16" s="186" t="s">
        <v>424</v>
      </c>
      <c r="BL16" s="1">
        <f>IF(E6&lt;&gt;0,N16-INT(BC5/L16)*L16*BM16,0)</f>
        <v>0</v>
      </c>
      <c r="BM16" s="1">
        <f>IF(E6&lt;&gt;0,INT(M16/INT(BC5/L16)),0)</f>
        <v>0</v>
      </c>
      <c r="BV16" s="90" t="s">
        <v>92</v>
      </c>
    </row>
    <row r="17" spans="2:84" ht="25.05" customHeight="1" thickBot="1" x14ac:dyDescent="0.35">
      <c r="B17" s="59" t="s">
        <v>108</v>
      </c>
      <c r="C17" s="262" t="s">
        <v>109</v>
      </c>
      <c r="D17" s="60" t="s">
        <v>78</v>
      </c>
      <c r="E17" s="262" t="s">
        <v>110</v>
      </c>
      <c r="F17" s="262" t="s">
        <v>111</v>
      </c>
      <c r="G17" s="262" t="s">
        <v>127</v>
      </c>
      <c r="H17" s="61" t="s">
        <v>128</v>
      </c>
      <c r="J17" s="18" t="s">
        <v>588</v>
      </c>
      <c r="K17" s="181" t="s">
        <v>587</v>
      </c>
      <c r="L17" s="98">
        <f>IF(E8=BV20,K5-30,0)</f>
        <v>0</v>
      </c>
      <c r="M17" s="99">
        <f xml:space="preserve"> IF(E8=BV20,E9,0)</f>
        <v>0</v>
      </c>
      <c r="N17" s="98">
        <f>L17*M17</f>
        <v>0</v>
      </c>
      <c r="O17" s="269">
        <f>BM17+IF(BL17&gt;0,1,0)</f>
        <v>0</v>
      </c>
      <c r="S17" s="219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BL17" s="1">
        <f>IF(E8=BV20,N17-INT(BC5/L17)*L17*BM17,0)</f>
        <v>0</v>
      </c>
      <c r="BM17" s="1">
        <f>IF(E8=BV20,INT(M17/INT(BC5/L17)),0)</f>
        <v>0</v>
      </c>
      <c r="BV17" s="91" t="s">
        <v>93</v>
      </c>
      <c r="CF17" s="1" t="b">
        <v>1</v>
      </c>
    </row>
    <row r="18" spans="2:84" ht="25.05" customHeight="1" thickBot="1" x14ac:dyDescent="0.35">
      <c r="B18" s="62" t="s">
        <v>112</v>
      </c>
      <c r="C18" s="11" t="s">
        <v>12</v>
      </c>
      <c r="D18" s="80">
        <v>0</v>
      </c>
      <c r="E18" s="12">
        <f>K4-IF(E22=0,0,IF(C22=BV10,E22,IF(C22=BV11,E22+2,E22+3)))-IF(E21=0,0,IF(C21=BV10,E21,IF(C21=BV11,E21+2,E21+3)))-IF(E20=0,0,IF(C20=BV10,E20,IF(C20=BV11,E20+2,E20+3)))-IF(E19=0,0,IF(C19=BV10,E19,IF(C19=BV11,E19+2,E19+3)))-33-IF(C18=BV11,2,IF(C18=BV12,3,0))-E5*CA6</f>
        <v>2482</v>
      </c>
      <c r="F18" s="63">
        <f>IF(C18=$BV$12,$K$5-11,IF(C18=$BV$11,$K$5-10,$K$5-8))</f>
        <v>789</v>
      </c>
      <c r="G18" s="64">
        <f>IF(E8=BV17,2,$E$9)</f>
        <v>1</v>
      </c>
      <c r="H18" s="65">
        <f>E18*F18*D18*G18/1000000</f>
        <v>0</v>
      </c>
      <c r="J18" s="319"/>
      <c r="K18" s="259"/>
      <c r="L18" s="259"/>
      <c r="M18" s="259"/>
      <c r="N18" s="259"/>
      <c r="O18" s="40"/>
      <c r="P18" s="259"/>
      <c r="Q18" s="259"/>
      <c r="R18" s="221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518" t="s">
        <v>102</v>
      </c>
      <c r="AD18" s="518"/>
      <c r="AE18" s="518"/>
      <c r="AF18" s="518"/>
      <c r="AG18" s="518"/>
      <c r="AH18" s="207" t="e">
        <f>AH16+R32+H23</f>
        <v>#N/A</v>
      </c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"/>
      <c r="AY18" s="229">
        <f>SUM(AY9:AY16)/E9</f>
        <v>4.5024239999999995</v>
      </c>
      <c r="AZ18" s="111" t="s">
        <v>256</v>
      </c>
      <c r="BA18" s="111"/>
      <c r="BB18" s="111"/>
      <c r="BC18" s="139">
        <v>5350</v>
      </c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V18" s="41" t="s">
        <v>91</v>
      </c>
      <c r="BZ18" s="239">
        <f>IF(E18&lt;&gt;0,1,0)</f>
        <v>1</v>
      </c>
    </row>
    <row r="19" spans="2:84" ht="25.05" customHeight="1" x14ac:dyDescent="0.3">
      <c r="B19" s="62" t="s">
        <v>113</v>
      </c>
      <c r="C19" s="11" t="s">
        <v>12</v>
      </c>
      <c r="D19" s="80">
        <v>0</v>
      </c>
      <c r="E19" s="13">
        <v>0</v>
      </c>
      <c r="F19" s="63">
        <f>IF(C19=$BV$12,$K$5-11,IF(C19=$BV$11,$K$5-10,$K$5-8))</f>
        <v>789</v>
      </c>
      <c r="G19" s="64">
        <f>IF(E19=0,0,IF($E$8=$BV$17,2,$E$9))</f>
        <v>0</v>
      </c>
      <c r="H19" s="65">
        <f t="shared" ref="H19:H22" si="23">E19*F19*D19*G19/1000000</f>
        <v>0</v>
      </c>
      <c r="J19" s="87"/>
      <c r="K19" s="6"/>
      <c r="L19" s="6"/>
      <c r="O19" s="93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Z19" s="111" t="s">
        <v>257</v>
      </c>
      <c r="BA19" s="111"/>
      <c r="BB19" s="111"/>
      <c r="BC19" s="111">
        <v>5350</v>
      </c>
      <c r="BD19" s="139"/>
      <c r="BE19" s="111"/>
      <c r="BF19" s="111"/>
      <c r="BG19" s="111"/>
      <c r="BH19" s="111"/>
      <c r="BI19" s="111"/>
      <c r="BJ19" s="111"/>
      <c r="BK19" s="111"/>
      <c r="BL19" s="111"/>
      <c r="BM19" s="139"/>
      <c r="BN19" s="139"/>
      <c r="BO19" s="139"/>
      <c r="BP19" s="139"/>
      <c r="BQ19" s="139"/>
      <c r="BR19" s="139"/>
      <c r="BV19" s="1" t="s">
        <v>586</v>
      </c>
      <c r="BZ19" s="239">
        <f>IF(E19&lt;&gt;0,1,0)</f>
        <v>0</v>
      </c>
      <c r="CF19" s="1" t="b">
        <v>1</v>
      </c>
    </row>
    <row r="20" spans="2:84" ht="25.05" customHeight="1" x14ac:dyDescent="0.3">
      <c r="B20" s="62" t="s">
        <v>114</v>
      </c>
      <c r="C20" s="11" t="s">
        <v>12</v>
      </c>
      <c r="D20" s="80">
        <v>0</v>
      </c>
      <c r="E20" s="13">
        <v>0</v>
      </c>
      <c r="F20" s="63">
        <f>IF(C20=$BV$12,$K$5-11,IF(C20=$BV$11,$K$5-10,$K$5-8))</f>
        <v>789</v>
      </c>
      <c r="G20" s="64">
        <f>IF(E20=0,0,IF($E$8=$BV$17,2,$E$9))</f>
        <v>0</v>
      </c>
      <c r="H20" s="65">
        <f t="shared" si="23"/>
        <v>0</v>
      </c>
      <c r="J20" s="94"/>
      <c r="K20" s="15"/>
      <c r="L20" s="14"/>
      <c r="O20" s="88"/>
      <c r="P20" s="14"/>
      <c r="Q20" s="14"/>
      <c r="R20" s="222"/>
      <c r="S20" s="14"/>
      <c r="T20" s="146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Z20" s="139" t="s">
        <v>258</v>
      </c>
      <c r="BA20" s="139"/>
      <c r="BB20" s="139"/>
      <c r="BC20" s="111">
        <v>5350</v>
      </c>
      <c r="BD20" s="139"/>
      <c r="BE20" s="111"/>
      <c r="BF20" s="111"/>
      <c r="BG20" s="111"/>
      <c r="BH20" s="111"/>
      <c r="BI20" s="111"/>
      <c r="BJ20" s="111"/>
      <c r="BK20" s="111"/>
      <c r="BL20" s="111"/>
      <c r="BM20" s="139"/>
      <c r="BN20" s="139"/>
      <c r="BO20" s="139"/>
      <c r="BP20" s="139"/>
      <c r="BQ20" s="139"/>
      <c r="BR20" s="139"/>
      <c r="BV20" s="1" t="s">
        <v>589</v>
      </c>
      <c r="BZ20" s="239">
        <f>IF(E20&lt;&gt;0,1,0)</f>
        <v>0</v>
      </c>
    </row>
    <row r="21" spans="2:84" ht="25.05" customHeight="1" thickBot="1" x14ac:dyDescent="0.35">
      <c r="B21" s="62" t="s">
        <v>115</v>
      </c>
      <c r="C21" s="11" t="s">
        <v>12</v>
      </c>
      <c r="D21" s="80">
        <v>0</v>
      </c>
      <c r="E21" s="13">
        <v>0</v>
      </c>
      <c r="F21" s="63">
        <f>IF(C21=$BV$12,$K$5-11,IF(C21=$BV$11,$K$5-10,$K$5-8))</f>
        <v>789</v>
      </c>
      <c r="G21" s="64">
        <f>IF(E21=0,0,IF($E$8=$BV$17,2,$E$9))</f>
        <v>0</v>
      </c>
      <c r="H21" s="65">
        <f t="shared" si="23"/>
        <v>0</v>
      </c>
      <c r="J21" s="496" t="s">
        <v>180</v>
      </c>
      <c r="K21" s="446"/>
      <c r="L21" s="446"/>
      <c r="M21" s="259"/>
      <c r="O21" s="88"/>
      <c r="P21" s="14"/>
      <c r="Q21" s="14"/>
      <c r="R21" s="222"/>
      <c r="S21" s="14"/>
      <c r="T21" s="110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9"/>
      <c r="AH21" s="241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Z21" s="81">
        <v>1000</v>
      </c>
      <c r="BA21" s="81">
        <v>1250</v>
      </c>
      <c r="BB21" s="81">
        <v>1800</v>
      </c>
      <c r="BC21" s="81">
        <v>2000</v>
      </c>
      <c r="BD21" s="81">
        <v>2500</v>
      </c>
      <c r="BE21" s="81">
        <v>2700</v>
      </c>
      <c r="BF21" s="81">
        <v>3000</v>
      </c>
      <c r="BG21" s="81">
        <v>3600</v>
      </c>
      <c r="BH21" s="81">
        <v>3750</v>
      </c>
      <c r="BI21" s="81">
        <v>4000</v>
      </c>
      <c r="BJ21" s="81">
        <v>5000</v>
      </c>
      <c r="BK21" s="112">
        <v>5400</v>
      </c>
      <c r="BL21" s="140"/>
      <c r="BM21" s="139"/>
      <c r="BN21" s="139"/>
      <c r="BO21" s="139"/>
      <c r="BP21" s="139"/>
      <c r="BQ21" s="139"/>
      <c r="BR21" s="139"/>
      <c r="BZ21" s="239">
        <f>IF(E21&lt;&gt;0,1,0)</f>
        <v>0</v>
      </c>
      <c r="CE21" s="1" t="s">
        <v>418</v>
      </c>
    </row>
    <row r="22" spans="2:84" ht="25.05" customHeight="1" thickBot="1" x14ac:dyDescent="0.35">
      <c r="B22" s="68" t="s">
        <v>116</v>
      </c>
      <c r="C22" s="11" t="s">
        <v>12</v>
      </c>
      <c r="D22" s="80">
        <v>0</v>
      </c>
      <c r="E22" s="13">
        <v>0</v>
      </c>
      <c r="F22" s="63">
        <f>IF(C22=$BV$12,$K$5-11,IF(C22=$BV$11,$K$5-10,$K$5-8))</f>
        <v>789</v>
      </c>
      <c r="G22" s="64">
        <f>IF(E22=0,0,IF($E$8=$BV$17,2,$E$9))</f>
        <v>0</v>
      </c>
      <c r="H22" s="65">
        <f t="shared" si="23"/>
        <v>0</v>
      </c>
      <c r="J22" s="442" t="s">
        <v>0</v>
      </c>
      <c r="K22" s="443"/>
      <c r="L22" s="443"/>
      <c r="M22" s="443"/>
      <c r="N22" s="309" t="s">
        <v>1</v>
      </c>
      <c r="O22" s="184" t="s">
        <v>8</v>
      </c>
      <c r="P22" s="110"/>
      <c r="Q22" s="110"/>
      <c r="R22" s="205" t="s">
        <v>24</v>
      </c>
      <c r="S22" s="110"/>
      <c r="T22" s="246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250">
        <f>BK9</f>
        <v>1</v>
      </c>
      <c r="BL22" s="111"/>
      <c r="BM22" s="111"/>
      <c r="BN22" s="111"/>
      <c r="BO22" s="111"/>
      <c r="BP22" s="111"/>
      <c r="BQ22" s="111"/>
      <c r="BR22" s="111"/>
      <c r="BS22" s="3"/>
      <c r="BT22" s="3"/>
      <c r="BZ22" s="239">
        <f>IF(E22&lt;&gt;0,1,0)</f>
        <v>0</v>
      </c>
      <c r="CE22" s="1" t="s">
        <v>423</v>
      </c>
    </row>
    <row r="23" spans="2:84" ht="25.05" customHeight="1" thickBot="1" x14ac:dyDescent="0.35">
      <c r="B23" s="56"/>
      <c r="C23" s="57"/>
      <c r="D23" s="57"/>
      <c r="E23" s="452" t="s">
        <v>79</v>
      </c>
      <c r="F23" s="452"/>
      <c r="G23" s="453"/>
      <c r="H23" s="258">
        <f>SUM(H18:H22)</f>
        <v>0</v>
      </c>
      <c r="J23" s="392" t="s">
        <v>577</v>
      </c>
      <c r="K23" s="393"/>
      <c r="L23" s="393"/>
      <c r="M23" s="393"/>
      <c r="N23" s="182" t="s">
        <v>578</v>
      </c>
      <c r="O23" s="176">
        <f>E9</f>
        <v>1</v>
      </c>
      <c r="P23" s="194"/>
      <c r="Q23" s="194"/>
      <c r="R23" s="227">
        <f>O23*Цены!J133</f>
        <v>3471.2</v>
      </c>
      <c r="S23" s="216"/>
      <c r="T23" s="331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3"/>
      <c r="AH23" s="331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Z23" s="149"/>
      <c r="BA23" s="149"/>
      <c r="BB23" s="149"/>
      <c r="BC23" s="149"/>
      <c r="BD23" s="150">
        <f>IF(AND(BL23&gt;0,BL23&lt;=2500),1,0)</f>
        <v>1</v>
      </c>
      <c r="BE23" s="149"/>
      <c r="BF23" s="149"/>
      <c r="BG23" s="149"/>
      <c r="BH23" s="149"/>
      <c r="BI23" s="149"/>
      <c r="BJ23" s="150">
        <f>IF(AND(BL23&gt;2500,BL23&lt;=4950),BM23+1,BM23)</f>
        <v>0</v>
      </c>
      <c r="BK23" s="149"/>
      <c r="BL23" s="151">
        <f>BL10</f>
        <v>800</v>
      </c>
      <c r="BM23" s="151">
        <f>BM10</f>
        <v>0</v>
      </c>
      <c r="BN23" s="111"/>
      <c r="BO23" s="111"/>
      <c r="BP23" s="111"/>
      <c r="BQ23" s="111"/>
      <c r="BR23" s="111"/>
      <c r="BS23" s="3"/>
      <c r="BT23" s="3"/>
      <c r="CE23" s="1" t="s">
        <v>420</v>
      </c>
    </row>
    <row r="24" spans="2:84" ht="25.05" customHeight="1" x14ac:dyDescent="0.3">
      <c r="B24" s="56"/>
      <c r="C24" s="539" t="str">
        <f>IF((SUM(BZ18:BZ22)/C14)&lt;&gt;1,BV45,BV46)</f>
        <v>Верно внесены высоты вставок</v>
      </c>
      <c r="D24" s="540"/>
      <c r="E24" s="82">
        <f>IF(C24=BV46,1,0)</f>
        <v>1</v>
      </c>
      <c r="F24" s="82"/>
      <c r="G24" s="82"/>
      <c r="H24" s="58"/>
      <c r="J24" s="412" t="s">
        <v>570</v>
      </c>
      <c r="K24" s="413"/>
      <c r="L24" s="413"/>
      <c r="M24" s="413"/>
      <c r="N24" s="158" t="s">
        <v>571</v>
      </c>
      <c r="O24" s="224">
        <f>E9</f>
        <v>1</v>
      </c>
      <c r="P24" s="194"/>
      <c r="Q24" s="194"/>
      <c r="R24" s="227">
        <f>O25*Цены!J186</f>
        <v>83.2</v>
      </c>
      <c r="S24" s="216"/>
      <c r="T24" s="331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3"/>
      <c r="AH24" s="331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51"/>
      <c r="BM24" s="151"/>
      <c r="BN24" s="148"/>
      <c r="BO24" s="111"/>
      <c r="BP24" s="111"/>
      <c r="BQ24" s="111"/>
      <c r="BR24" s="111"/>
      <c r="BS24" s="3"/>
      <c r="BT24" s="3"/>
      <c r="BV24" s="1" t="s">
        <v>80</v>
      </c>
      <c r="CE24" s="1" t="s">
        <v>421</v>
      </c>
    </row>
    <row r="25" spans="2:84" ht="25.05" customHeight="1" x14ac:dyDescent="0.3">
      <c r="B25" s="56"/>
      <c r="C25" s="57"/>
      <c r="D25" s="57"/>
      <c r="E25" s="57"/>
      <c r="F25" s="57"/>
      <c r="G25" s="57"/>
      <c r="H25" s="58"/>
      <c r="J25" s="412" t="s">
        <v>595</v>
      </c>
      <c r="K25" s="413"/>
      <c r="L25" s="413"/>
      <c r="M25" s="413"/>
      <c r="N25" s="182" t="s">
        <v>596</v>
      </c>
      <c r="O25" s="177">
        <f>M12*4+M13*4+M14*4</f>
        <v>8</v>
      </c>
      <c r="P25" s="196"/>
      <c r="Q25" s="196"/>
      <c r="R25" s="227">
        <f>O26*Цены!J179</f>
        <v>0</v>
      </c>
      <c r="S25" s="216"/>
      <c r="T25" s="246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328"/>
      <c r="AH25" s="32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Z25" s="152"/>
      <c r="BA25" s="152"/>
      <c r="BB25" s="152"/>
      <c r="BC25" s="152"/>
      <c r="BD25" s="153">
        <f>IF(AND(BL25&gt;0,BL25&lt;=2500),1,0)</f>
        <v>1</v>
      </c>
      <c r="BE25" s="152"/>
      <c r="BF25" s="152"/>
      <c r="BG25" s="152"/>
      <c r="BH25" s="152"/>
      <c r="BI25" s="152"/>
      <c r="BJ25" s="153">
        <f>IF(AND(BL25&gt;2500,BL25&lt;=5025),BM25+1,BM25)</f>
        <v>0</v>
      </c>
      <c r="BK25" s="152"/>
      <c r="BL25" s="151">
        <f t="shared" ref="BL25:BM25" si="24">BL12</f>
        <v>1600</v>
      </c>
      <c r="BM25" s="151">
        <f t="shared" si="24"/>
        <v>0</v>
      </c>
      <c r="BN25" s="111"/>
      <c r="BO25" s="111"/>
      <c r="BP25" s="111"/>
      <c r="BQ25" s="111"/>
      <c r="BR25" s="111"/>
      <c r="BS25" s="3"/>
      <c r="BT25" s="3"/>
      <c r="BV25" s="16" t="s">
        <v>159</v>
      </c>
      <c r="CE25" s="1" t="s">
        <v>422</v>
      </c>
    </row>
    <row r="26" spans="2:84" ht="25.05" customHeight="1" thickBot="1" x14ac:dyDescent="0.35">
      <c r="B26" s="56"/>
      <c r="C26" s="494" t="str">
        <f>IF(AND(SUM(BZ18:BZ22)/C14=1,E22=0,C14&lt;&gt;1),BV49,BV50)</f>
        <v xml:space="preserve"> </v>
      </c>
      <c r="D26" s="494"/>
      <c r="E26" s="71"/>
      <c r="F26" s="71"/>
      <c r="H26" s="8"/>
      <c r="J26" s="530" t="s">
        <v>82</v>
      </c>
      <c r="K26" s="531"/>
      <c r="L26" s="531"/>
      <c r="M26" s="532"/>
      <c r="N26" s="182" t="s">
        <v>255</v>
      </c>
      <c r="O26" s="179">
        <f>ROUNDUP((IF(C18=BV11,(E18+F18)*2*G18,0)+IF(C19=BV11,(E19+F19)*2*G19,0)+IF(C20=BV11,(E20+F20)*2*G20,0)+IF(C21=BV11,(E21+F21)*2*G21,0)+IF(C22=BV11,(E22+F22)*2*G22,0))/1000,0)</f>
        <v>0</v>
      </c>
      <c r="P26" s="196"/>
      <c r="Q26" s="196"/>
      <c r="R26" s="226">
        <f>O27*Цены!J180</f>
        <v>310.31</v>
      </c>
      <c r="S26" s="217"/>
      <c r="T26" s="246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328"/>
      <c r="AH26" s="32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Z26" s="113"/>
      <c r="BA26" s="111">
        <f>IF(AND(BL26&gt;0,BL26&lt;=1250),1,0)</f>
        <v>1</v>
      </c>
      <c r="BB26" s="113"/>
      <c r="BC26" s="113"/>
      <c r="BD26" s="111">
        <f>IF(AND(BL26&gt;1250,BL26&lt;=2500),1,0)</f>
        <v>0</v>
      </c>
      <c r="BE26" s="113"/>
      <c r="BF26" s="113"/>
      <c r="BG26" s="113"/>
      <c r="BH26" s="111">
        <f>IF(AND(BL26&gt;2500,BL26&lt;=3750),1,0)</f>
        <v>0</v>
      </c>
      <c r="BI26" s="113"/>
      <c r="BJ26" s="111">
        <f>IF(AND(BL26&gt;4000,BL26&lt;=4950),BM26+1,BM26)</f>
        <v>0</v>
      </c>
      <c r="BK26" s="113"/>
      <c r="BL26" s="151">
        <f t="shared" ref="BL26:BM26" si="25">BL13</f>
        <v>776</v>
      </c>
      <c r="BM26" s="151">
        <f t="shared" si="25"/>
        <v>0</v>
      </c>
      <c r="BN26" s="111"/>
      <c r="BO26" s="111"/>
      <c r="BP26" s="111"/>
      <c r="BQ26" s="111"/>
      <c r="BR26" s="141"/>
      <c r="BS26" s="121"/>
      <c r="BT26" s="121"/>
      <c r="BV26" s="16" t="s">
        <v>129</v>
      </c>
      <c r="CE26" s="1" t="s">
        <v>419</v>
      </c>
    </row>
    <row r="27" spans="2:84" ht="25.05" customHeight="1" thickBot="1" x14ac:dyDescent="0.4">
      <c r="B27" s="72"/>
      <c r="C27" s="73"/>
      <c r="D27" s="82"/>
      <c r="E27" s="82"/>
      <c r="F27" s="82"/>
      <c r="G27" s="260" t="s">
        <v>261</v>
      </c>
      <c r="H27" s="117">
        <f>ROUNDUP((AY18+AY42)*1.1,0)</f>
        <v>29</v>
      </c>
      <c r="J27" s="381" t="s">
        <v>84</v>
      </c>
      <c r="K27" s="382"/>
      <c r="L27" s="382"/>
      <c r="M27" s="383"/>
      <c r="N27" s="182" t="s">
        <v>193</v>
      </c>
      <c r="O27" s="179">
        <f>ROUNDUP((IF(AND(E5&lt;&gt;0,C18=BV12),(E18+F18+E18)*G18,IF(AND(E5=0,C18=BV12),(E18+F18)*2*G18,0))
+IF(C19=BV12,E19*2*G19,0)
+IF(C20=BV12,E20*2*G20,0)
+IF(C21=BV12,E21*2*G21,0)
+IF(C22=BV12,(E22+F22+E22)*G22,0))/1000,0)</f>
        <v>7</v>
      </c>
      <c r="P27" s="194"/>
      <c r="Q27" s="194"/>
      <c r="R27" s="227">
        <f>O28*Цены!J173</f>
        <v>0</v>
      </c>
      <c r="S27" s="216"/>
      <c r="T27" s="246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328"/>
      <c r="AH27" s="199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Z27" s="113"/>
      <c r="BA27" s="142">
        <f>IF(AND(J14=BY7,BL27&gt;0,BL27&lt;=1250),1,0)</f>
        <v>0</v>
      </c>
      <c r="BB27" s="143">
        <f>IF(AND(J14=BY6,BO27&gt;0,BO27&lt;=1800),1,0)</f>
        <v>0</v>
      </c>
      <c r="BC27" s="113"/>
      <c r="BD27" s="142">
        <f>IF(AND(J14=BY7,BL27&gt;1250,BL27&lt;=2500),1,0)</f>
        <v>0</v>
      </c>
      <c r="BE27" s="143">
        <f>IF(AND(J14=BY6,BO27&gt;1800,BO27&lt;=2700),1,0)</f>
        <v>0</v>
      </c>
      <c r="BF27" s="113"/>
      <c r="BG27" s="143">
        <f>IF(AND(J14=BY6,BO27&gt;2700,BO27&lt;=3600),1,0)</f>
        <v>0</v>
      </c>
      <c r="BH27" s="142">
        <f>IF(AND(J14=BY7,BL27&gt;2500,BL27&lt;=3750),1,0)</f>
        <v>0</v>
      </c>
      <c r="BI27" s="113"/>
      <c r="BJ27" s="142">
        <f>IF(AND(J14=BY7,BL27&gt;4000,BL27&lt;=4950),BM27+1,BM27)</f>
        <v>0</v>
      </c>
      <c r="BK27" s="143">
        <f>IF(AND(J14=BY6,BO27&gt;3600,BO27&lt;=5350),BP27+1,BP27)</f>
        <v>0</v>
      </c>
      <c r="BL27" s="151">
        <f>BL14</f>
        <v>0</v>
      </c>
      <c r="BM27" s="151">
        <f>BM14</f>
        <v>0</v>
      </c>
      <c r="BN27" s="151"/>
      <c r="BO27" s="151">
        <f>BO14</f>
        <v>0</v>
      </c>
      <c r="BP27" s="151">
        <f>BP14</f>
        <v>0</v>
      </c>
      <c r="BQ27" s="111"/>
      <c r="BR27" s="111"/>
      <c r="BS27" s="3"/>
      <c r="BT27" s="3"/>
      <c r="BV27" s="1" t="s">
        <v>76</v>
      </c>
      <c r="CE27" s="1" t="s">
        <v>520</v>
      </c>
    </row>
    <row r="28" spans="2:84" ht="25.05" customHeight="1" thickBot="1" x14ac:dyDescent="0.4">
      <c r="B28" s="76"/>
      <c r="C28" s="77"/>
      <c r="D28" s="78"/>
      <c r="E28" s="78"/>
      <c r="F28" s="78"/>
      <c r="G28" s="78"/>
      <c r="H28" s="79"/>
      <c r="J28" s="534" t="s">
        <v>574</v>
      </c>
      <c r="K28" s="535"/>
      <c r="L28" s="535"/>
      <c r="M28" s="536"/>
      <c r="N28" s="344" t="s">
        <v>573</v>
      </c>
      <c r="O28" s="371">
        <f>ROUNDUP((IF(AND(E5&lt;&gt;0,C18=BV12),F18*G18,0)
+IF(C19=BV12,F19*2*G19,0)
+IF(C20=BV12,F20*2*G20,0)
+IF(C21=BV12,F21*2*G21,0)
+IF(C22=BV12,F22*G22,0))/1000,0)</f>
        <v>0</v>
      </c>
      <c r="P28" s="193"/>
      <c r="Q28" s="193"/>
      <c r="R28" s="206" t="e">
        <f>#REF!*Цены!J134</f>
        <v>#REF!</v>
      </c>
      <c r="S28" s="187"/>
      <c r="T28" s="246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328"/>
      <c r="AH28" s="217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Z28" s="144"/>
      <c r="BA28" s="144"/>
      <c r="BB28" s="144"/>
      <c r="BC28" s="144"/>
      <c r="BD28" s="144"/>
      <c r="BE28" s="111">
        <f>IF(AND(BO28&gt;0,BO28&lt;=2700),1,0)</f>
        <v>0</v>
      </c>
      <c r="BF28" s="144"/>
      <c r="BG28" s="144"/>
      <c r="BH28" s="144"/>
      <c r="BI28" s="144"/>
      <c r="BJ28" s="144"/>
      <c r="BK28" s="111">
        <f>IF(AND(BO28&gt;2700,BO28&lt;=5350),BP28+1,BP28)</f>
        <v>0</v>
      </c>
      <c r="BL28" s="139"/>
      <c r="BM28" s="111"/>
      <c r="BN28" s="139"/>
      <c r="BO28" s="151">
        <f>BO15</f>
        <v>0</v>
      </c>
      <c r="BP28" s="151">
        <f>BP15</f>
        <v>0</v>
      </c>
      <c r="BQ28" s="139"/>
      <c r="BR28" s="139"/>
      <c r="BV28" s="240"/>
      <c r="CE28" s="1" t="s">
        <v>518</v>
      </c>
    </row>
    <row r="29" spans="2:84" ht="25.05" customHeight="1" x14ac:dyDescent="0.3">
      <c r="B29" s="57"/>
      <c r="C29" s="57"/>
      <c r="D29" s="57"/>
      <c r="E29" s="57"/>
      <c r="F29" s="57"/>
      <c r="G29" s="57"/>
      <c r="J29" s="215"/>
      <c r="K29" s="215"/>
      <c r="L29" s="215"/>
      <c r="M29" s="215"/>
      <c r="N29" s="271"/>
      <c r="O29" s="197"/>
      <c r="P29" s="197"/>
      <c r="Q29" s="197"/>
      <c r="R29" s="206">
        <f>O29*Цены!J163</f>
        <v>0</v>
      </c>
      <c r="S29" s="187"/>
      <c r="T29" s="219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219"/>
      <c r="AI29" s="346"/>
      <c r="AJ29" s="346"/>
      <c r="AK29" s="346"/>
      <c r="AL29" s="346"/>
      <c r="AM29" s="346"/>
      <c r="AN29" s="346"/>
      <c r="AO29" s="346"/>
      <c r="AP29" s="346"/>
      <c r="AQ29" s="346"/>
      <c r="AR29" s="346"/>
      <c r="AS29" s="346"/>
      <c r="AT29" s="346"/>
      <c r="AU29" s="346"/>
      <c r="AV29" s="346"/>
      <c r="AW29" s="346"/>
    </row>
    <row r="30" spans="2:84" ht="25.05" customHeight="1" x14ac:dyDescent="0.3">
      <c r="B30" s="57"/>
      <c r="C30" s="57"/>
      <c r="D30" s="57"/>
      <c r="E30" s="57"/>
      <c r="F30" s="57"/>
      <c r="G30" s="57"/>
      <c r="J30" s="215"/>
      <c r="K30" s="215"/>
      <c r="L30" s="215"/>
      <c r="M30" s="215"/>
      <c r="N30" s="271"/>
      <c r="O30" s="197"/>
      <c r="P30" s="197"/>
      <c r="Q30" s="197"/>
      <c r="R30" s="206">
        <f>O30*Цены!J182</f>
        <v>0</v>
      </c>
      <c r="S30" s="187"/>
      <c r="AI30" s="336"/>
      <c r="AJ30" s="336"/>
      <c r="AK30" s="336"/>
      <c r="AL30" s="336"/>
      <c r="AM30" s="336"/>
      <c r="AN30" s="336"/>
      <c r="AO30" s="336"/>
      <c r="AP30" s="336"/>
      <c r="AQ30" s="336"/>
      <c r="AR30" s="336"/>
      <c r="AS30" s="336"/>
      <c r="AT30" s="336"/>
      <c r="AU30" s="336"/>
      <c r="AV30" s="336"/>
      <c r="AW30" s="336"/>
      <c r="BV30" s="39">
        <v>0</v>
      </c>
    </row>
    <row r="31" spans="2:84" ht="25.05" customHeight="1" thickBot="1" x14ac:dyDescent="0.35">
      <c r="J31" s="215"/>
      <c r="K31" s="215"/>
      <c r="L31" s="215"/>
      <c r="M31" s="215"/>
      <c r="N31" s="370"/>
      <c r="O31" s="195"/>
      <c r="P31" s="195"/>
      <c r="Q31" s="195"/>
      <c r="R31" s="243">
        <f>O31*Цены!J178</f>
        <v>0</v>
      </c>
      <c r="S31" s="187"/>
      <c r="T31" s="18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BE31" s="186" t="s">
        <v>517</v>
      </c>
      <c r="BV31" s="39">
        <v>1</v>
      </c>
    </row>
    <row r="32" spans="2:84" ht="25.05" customHeight="1" thickBot="1" x14ac:dyDescent="0.35">
      <c r="K32" s="83"/>
      <c r="R32" s="228" t="e">
        <f>SUM(R23:R31)</f>
        <v>#REF!</v>
      </c>
      <c r="S32" s="85"/>
      <c r="T32" s="85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BV32" s="39">
        <v>2</v>
      </c>
    </row>
    <row r="33" spans="11:74" ht="25.05" customHeight="1" thickBot="1" x14ac:dyDescent="0.35">
      <c r="K33" s="83"/>
      <c r="Q33" s="477" t="s">
        <v>425</v>
      </c>
      <c r="V33" s="257"/>
      <c r="W33" s="257"/>
      <c r="X33" s="257"/>
      <c r="Y33" s="257"/>
      <c r="Z33" s="257"/>
      <c r="AA33" s="257"/>
      <c r="AB33" s="25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AZ33" s="111" t="s">
        <v>256</v>
      </c>
      <c r="BA33" s="111"/>
      <c r="BB33" s="111"/>
      <c r="BC33" s="139">
        <v>5350</v>
      </c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V33" s="39">
        <v>3</v>
      </c>
    </row>
    <row r="34" spans="11:74" ht="25.05" customHeight="1" thickBot="1" x14ac:dyDescent="0.35">
      <c r="L34" s="257"/>
      <c r="M34" s="257"/>
      <c r="N34" s="257"/>
      <c r="O34" s="257"/>
      <c r="Q34" s="477"/>
      <c r="R34" s="207" t="e">
        <f>R16+R32+H23</f>
        <v>#N/A</v>
      </c>
      <c r="S34" s="215"/>
      <c r="T34" s="215"/>
      <c r="AZ34" s="111" t="s">
        <v>257</v>
      </c>
      <c r="BA34" s="111"/>
      <c r="BB34" s="111"/>
      <c r="BC34" s="111">
        <v>5350</v>
      </c>
      <c r="BD34" s="139"/>
      <c r="BE34" s="111"/>
      <c r="BF34" s="111"/>
      <c r="BG34" s="111"/>
      <c r="BH34" s="111"/>
      <c r="BI34" s="111"/>
      <c r="BJ34" s="111"/>
      <c r="BK34" s="111"/>
      <c r="BL34" s="111"/>
      <c r="BM34" s="139"/>
      <c r="BN34" s="139"/>
      <c r="BO34" s="139"/>
      <c r="BP34" s="139"/>
      <c r="BQ34" s="139"/>
      <c r="BR34" s="139"/>
      <c r="BV34" s="39">
        <v>4</v>
      </c>
    </row>
    <row r="35" spans="11:74" ht="25.05" customHeight="1" x14ac:dyDescent="0.3">
      <c r="AZ35" s="139" t="s">
        <v>258</v>
      </c>
      <c r="BA35" s="139"/>
      <c r="BB35" s="139"/>
      <c r="BC35" s="111">
        <v>5350</v>
      </c>
      <c r="BD35" s="139"/>
      <c r="BE35" s="111"/>
      <c r="BF35" s="111"/>
      <c r="BG35" s="111"/>
      <c r="BH35" s="111"/>
      <c r="BI35" s="111"/>
      <c r="BJ35" s="111"/>
      <c r="BK35" s="111"/>
      <c r="BL35" s="111"/>
      <c r="BM35" s="139"/>
      <c r="BN35" s="139"/>
      <c r="BO35" s="139"/>
      <c r="BP35" s="139"/>
      <c r="BQ35" s="139"/>
      <c r="BR35" s="139"/>
    </row>
    <row r="36" spans="11:74" ht="25.05" customHeight="1" x14ac:dyDescent="0.3">
      <c r="AY36" s="1" t="s">
        <v>264</v>
      </c>
      <c r="AZ36" s="81">
        <v>1000</v>
      </c>
      <c r="BA36" s="81">
        <v>1250</v>
      </c>
      <c r="BB36" s="81">
        <v>1800</v>
      </c>
      <c r="BC36" s="81">
        <v>2000</v>
      </c>
      <c r="BD36" s="81">
        <v>2500</v>
      </c>
      <c r="BE36" s="81">
        <v>2700</v>
      </c>
      <c r="BF36" s="81">
        <v>3000</v>
      </c>
      <c r="BG36" s="81">
        <v>3600</v>
      </c>
      <c r="BH36" s="81">
        <v>3750</v>
      </c>
      <c r="BI36" s="81">
        <v>4000</v>
      </c>
      <c r="BJ36" s="81">
        <v>5000</v>
      </c>
      <c r="BK36" s="112">
        <v>5400</v>
      </c>
      <c r="BL36" s="140"/>
      <c r="BM36" s="139"/>
      <c r="BN36" s="139"/>
      <c r="BO36" s="139"/>
      <c r="BP36" s="139"/>
      <c r="BQ36" s="139"/>
      <c r="BR36" s="139"/>
    </row>
    <row r="37" spans="11:74" ht="25.05" customHeight="1" x14ac:dyDescent="0.3">
      <c r="AY37" s="115">
        <f>IF(C18=$BV$10,(F18*E18/1000000)*8,IF(C18=$BV$11,(F18*E18/1000000)*6.5,(F18*E18/1000000)*11))</f>
        <v>21.541278000000002</v>
      </c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250">
        <f>BK24</f>
        <v>0</v>
      </c>
      <c r="BL37" s="111"/>
      <c r="BM37" s="111"/>
      <c r="BN37" s="111"/>
      <c r="BO37" s="111"/>
      <c r="BP37" s="111"/>
      <c r="BQ37" s="111"/>
      <c r="BR37" s="111"/>
      <c r="BV37" s="1" t="s">
        <v>179</v>
      </c>
    </row>
    <row r="38" spans="11:74" ht="25.05" customHeight="1" x14ac:dyDescent="0.3">
      <c r="AY38" s="115">
        <f>IF(C19=$BV$10,(F19*E19/1000000)*8,IF(C19=$BV$11,(F19*E19/1000000)*6.5,(F19*E19/1000000)*11))</f>
        <v>0</v>
      </c>
      <c r="AZ38" s="149"/>
      <c r="BA38" s="149"/>
      <c r="BB38" s="149"/>
      <c r="BC38" s="149"/>
      <c r="BD38" s="150">
        <f>IF(AND(BL38&gt;0,BL38&lt;=2500),1,0)</f>
        <v>1</v>
      </c>
      <c r="BE38" s="149"/>
      <c r="BF38" s="149"/>
      <c r="BG38" s="149"/>
      <c r="BH38" s="149"/>
      <c r="BI38" s="149"/>
      <c r="BJ38" s="150">
        <f>IF(AND(BL38&gt;2500,BL38&lt;=4950),BM38+1,BM38)</f>
        <v>0</v>
      </c>
      <c r="BK38" s="149"/>
      <c r="BL38" s="151">
        <f>BL23</f>
        <v>800</v>
      </c>
      <c r="BM38" s="151">
        <f t="shared" ref="BM38:BP38" si="26">BM23</f>
        <v>0</v>
      </c>
      <c r="BN38" s="151">
        <f t="shared" si="26"/>
        <v>0</v>
      </c>
      <c r="BO38" s="151">
        <f t="shared" si="26"/>
        <v>0</v>
      </c>
      <c r="BP38" s="151">
        <f t="shared" si="26"/>
        <v>0</v>
      </c>
      <c r="BQ38" s="151"/>
      <c r="BR38" s="151"/>
      <c r="BV38" s="1" t="s">
        <v>174</v>
      </c>
    </row>
    <row r="39" spans="11:74" ht="25.05" customHeight="1" x14ac:dyDescent="0.3">
      <c r="AY39" s="115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51">
        <f t="shared" ref="BL39:BP39" si="27">BL24</f>
        <v>0</v>
      </c>
      <c r="BM39" s="151">
        <f t="shared" si="27"/>
        <v>0</v>
      </c>
      <c r="BN39" s="151">
        <f t="shared" si="27"/>
        <v>0</v>
      </c>
      <c r="BO39" s="151">
        <f t="shared" si="27"/>
        <v>0</v>
      </c>
      <c r="BP39" s="151">
        <f t="shared" si="27"/>
        <v>0</v>
      </c>
      <c r="BQ39" s="151"/>
      <c r="BR39" s="151"/>
    </row>
    <row r="40" spans="11:74" ht="25.05" customHeight="1" x14ac:dyDescent="0.3">
      <c r="AY40" s="115">
        <f>IF(C21=$BV$10,(F21*E21/1000000)*8,IF(C21=$BV$11,(F21*E21/1000000)*6.5,(F21*E21/1000000)*11))</f>
        <v>0</v>
      </c>
      <c r="AZ40" s="152"/>
      <c r="BA40" s="152"/>
      <c r="BB40" s="152"/>
      <c r="BC40" s="152"/>
      <c r="BD40" s="153">
        <f>IF(AND(BL40&gt;0,BL40&lt;=2500),1,0)</f>
        <v>1</v>
      </c>
      <c r="BE40" s="152"/>
      <c r="BF40" s="152"/>
      <c r="BG40" s="152"/>
      <c r="BH40" s="152"/>
      <c r="BI40" s="152"/>
      <c r="BJ40" s="153">
        <f>IF(AND(BL40&gt;2500,BL40&lt;=5025),BM40+1,BM40)</f>
        <v>0</v>
      </c>
      <c r="BK40" s="152"/>
      <c r="BL40" s="151">
        <f t="shared" ref="BL40:BP40" si="28">BL25</f>
        <v>1600</v>
      </c>
      <c r="BM40" s="151">
        <f t="shared" si="28"/>
        <v>0</v>
      </c>
      <c r="BN40" s="151">
        <f t="shared" si="28"/>
        <v>0</v>
      </c>
      <c r="BO40" s="151">
        <f t="shared" si="28"/>
        <v>0</v>
      </c>
      <c r="BP40" s="151">
        <f t="shared" si="28"/>
        <v>0</v>
      </c>
      <c r="BQ40" s="151"/>
      <c r="BR40" s="151"/>
    </row>
    <row r="41" spans="11:74" ht="25.05" customHeight="1" thickBot="1" x14ac:dyDescent="0.35">
      <c r="AY41" s="115">
        <f>IF(C22=$BV$10,(F22*E22/1000000)*8,IF(C22=$BV$11,(F22*E22/1000000)*6.5,(F22*E22/1000000)*11))</f>
        <v>0</v>
      </c>
      <c r="AZ41" s="113"/>
      <c r="BA41" s="113"/>
      <c r="BB41" s="113"/>
      <c r="BC41" s="113"/>
      <c r="BD41" s="111">
        <f>IF(AND(BL41&gt;0,BL41&lt;=2500),1,0)</f>
        <v>1</v>
      </c>
      <c r="BE41" s="113"/>
      <c r="BF41" s="113"/>
      <c r="BG41" s="113"/>
      <c r="BH41" s="113"/>
      <c r="BI41" s="113"/>
      <c r="BJ41" s="111">
        <f>IF(AND(BL41&gt;2500,BL41&lt;=4950),BM41+1,BM41)</f>
        <v>0</v>
      </c>
      <c r="BK41" s="113"/>
      <c r="BL41" s="151">
        <f t="shared" ref="BL41:BP41" si="29">BL26</f>
        <v>776</v>
      </c>
      <c r="BM41" s="151">
        <f t="shared" si="29"/>
        <v>0</v>
      </c>
      <c r="BN41" s="151">
        <f t="shared" si="29"/>
        <v>0</v>
      </c>
      <c r="BO41" s="151">
        <f t="shared" si="29"/>
        <v>0</v>
      </c>
      <c r="BP41" s="151">
        <f t="shared" si="29"/>
        <v>0</v>
      </c>
      <c r="BQ41" s="151"/>
      <c r="BR41" s="151"/>
      <c r="BV41" s="1" t="s">
        <v>177</v>
      </c>
    </row>
    <row r="42" spans="11:74" ht="25.05" customHeight="1" thickBot="1" x14ac:dyDescent="0.35">
      <c r="AY42" s="147">
        <f>SUM(AY37:AY41)</f>
        <v>21.541278000000002</v>
      </c>
      <c r="AZ42" s="113"/>
      <c r="BA42" s="113"/>
      <c r="BB42" s="113"/>
      <c r="BC42" s="113"/>
      <c r="BD42" s="142">
        <f>IF(AND(J14=BY7,BL42&gt;0,BL42&lt;=2500),1,0)</f>
        <v>0</v>
      </c>
      <c r="BE42" s="143">
        <f>IF(AND(J14=BY6,BO42&gt;0,BO42&lt;=2700),1,0)</f>
        <v>0</v>
      </c>
      <c r="BF42" s="113"/>
      <c r="BG42" s="113"/>
      <c r="BH42" s="113"/>
      <c r="BI42" s="113"/>
      <c r="BJ42" s="142">
        <f>IF(AND(J14=BY7,BL42&gt;2500,BL42&lt;=4950),BM42+1,BM42)</f>
        <v>0</v>
      </c>
      <c r="BK42" s="143">
        <f>IF(AND(J14=BY6,BO42&gt;2700,BO42&lt;=5350),BP42+1,BP42)</f>
        <v>0</v>
      </c>
      <c r="BL42" s="151">
        <f t="shared" ref="BL42:BP42" si="30">BL27</f>
        <v>0</v>
      </c>
      <c r="BM42" s="151">
        <f t="shared" si="30"/>
        <v>0</v>
      </c>
      <c r="BN42" s="151">
        <f t="shared" si="30"/>
        <v>0</v>
      </c>
      <c r="BO42" s="151">
        <f t="shared" si="30"/>
        <v>0</v>
      </c>
      <c r="BP42" s="151">
        <f t="shared" si="30"/>
        <v>0</v>
      </c>
      <c r="BQ42" s="151"/>
      <c r="BR42" s="151"/>
      <c r="BV42" s="1" t="s">
        <v>174</v>
      </c>
    </row>
    <row r="43" spans="11:74" ht="25.05" customHeight="1" x14ac:dyDescent="0.3">
      <c r="AY43" s="30"/>
      <c r="AZ43" s="144"/>
      <c r="BA43" s="144"/>
      <c r="BB43" s="144"/>
      <c r="BC43" s="144"/>
      <c r="BD43" s="144"/>
      <c r="BE43" s="111">
        <f>IF(AND(BO43&gt;0,BO43&lt;=2700),1,0)</f>
        <v>0</v>
      </c>
      <c r="BF43" s="144"/>
      <c r="BG43" s="144"/>
      <c r="BH43" s="144"/>
      <c r="BI43" s="144"/>
      <c r="BJ43" s="144"/>
      <c r="BK43" s="111">
        <f>IF(AND(BO43&gt;2700,BO43&lt;=5350),BP43+1,BP43)</f>
        <v>0</v>
      </c>
      <c r="BL43" s="151">
        <f t="shared" ref="BL43:BP43" si="31">BL28</f>
        <v>0</v>
      </c>
      <c r="BM43" s="151">
        <f t="shared" si="31"/>
        <v>0</v>
      </c>
      <c r="BN43" s="151">
        <f t="shared" si="31"/>
        <v>0</v>
      </c>
      <c r="BO43" s="151">
        <f t="shared" si="31"/>
        <v>0</v>
      </c>
      <c r="BP43" s="151">
        <f t="shared" si="31"/>
        <v>0</v>
      </c>
      <c r="BQ43" s="151"/>
      <c r="BR43" s="151"/>
      <c r="BS43" s="30"/>
      <c r="BT43" s="30"/>
      <c r="BU43" s="30"/>
    </row>
    <row r="44" spans="11:74" ht="25.05" customHeight="1" x14ac:dyDescent="0.3"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</row>
    <row r="45" spans="11:74" ht="25.05" customHeight="1" x14ac:dyDescent="0.3"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57" t="s">
        <v>118</v>
      </c>
    </row>
    <row r="46" spans="11:74" ht="25.05" customHeight="1" x14ac:dyDescent="0.3">
      <c r="AY46" s="30"/>
      <c r="BE46" s="186" t="s">
        <v>518</v>
      </c>
      <c r="BS46" s="30"/>
      <c r="BT46" s="30"/>
      <c r="BU46" s="30"/>
      <c r="BV46" s="57" t="s">
        <v>119</v>
      </c>
    </row>
    <row r="47" spans="11:74" ht="25.05" customHeight="1" x14ac:dyDescent="0.3">
      <c r="AY47" s="30"/>
      <c r="BS47" s="30"/>
      <c r="BT47" s="30"/>
      <c r="BU47" s="30"/>
    </row>
    <row r="48" spans="11:74" ht="25.05" customHeight="1" x14ac:dyDescent="0.3">
      <c r="AY48" s="30"/>
      <c r="AZ48" s="111" t="s">
        <v>256</v>
      </c>
      <c r="BA48" s="111"/>
      <c r="BB48" s="111"/>
      <c r="BC48" s="139">
        <v>5350</v>
      </c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30"/>
      <c r="BT48" s="30"/>
      <c r="BU48" s="30"/>
    </row>
    <row r="49" spans="51:74" s="1" customFormat="1" ht="25.05" customHeight="1" x14ac:dyDescent="0.35">
      <c r="AY49" s="30"/>
      <c r="AZ49" s="111" t="s">
        <v>257</v>
      </c>
      <c r="BA49" s="111"/>
      <c r="BB49" s="111"/>
      <c r="BC49" s="111">
        <v>5350</v>
      </c>
      <c r="BD49" s="139"/>
      <c r="BE49" s="111"/>
      <c r="BF49" s="111"/>
      <c r="BG49" s="111"/>
      <c r="BH49" s="111"/>
      <c r="BI49" s="111"/>
      <c r="BJ49" s="111"/>
      <c r="BK49" s="111"/>
      <c r="BL49" s="111"/>
      <c r="BM49" s="139"/>
      <c r="BN49" s="139"/>
      <c r="BO49" s="139"/>
      <c r="BP49" s="139"/>
      <c r="BQ49" s="139"/>
      <c r="BR49" s="139"/>
      <c r="BS49" s="30"/>
      <c r="BT49" s="30"/>
      <c r="BU49" s="30"/>
      <c r="BV49" s="73" t="s">
        <v>126</v>
      </c>
    </row>
    <row r="50" spans="51:74" s="1" customFormat="1" ht="25.05" customHeight="1" x14ac:dyDescent="0.3">
      <c r="AY50" s="30"/>
      <c r="AZ50" s="139" t="s">
        <v>258</v>
      </c>
      <c r="BA50" s="139"/>
      <c r="BB50" s="139"/>
      <c r="BC50" s="111">
        <v>5350</v>
      </c>
      <c r="BD50" s="139"/>
      <c r="BE50" s="111"/>
      <c r="BF50" s="111"/>
      <c r="BG50" s="111"/>
      <c r="BH50" s="111"/>
      <c r="BI50" s="111"/>
      <c r="BJ50" s="111"/>
      <c r="BK50" s="111"/>
      <c r="BL50" s="111"/>
      <c r="BM50" s="139"/>
      <c r="BN50" s="139"/>
      <c r="BO50" s="139"/>
      <c r="BP50" s="139"/>
      <c r="BQ50" s="139"/>
      <c r="BR50" s="139"/>
      <c r="BS50" s="30"/>
      <c r="BT50" s="30"/>
      <c r="BU50" s="30"/>
      <c r="BV50" s="1" t="s">
        <v>94</v>
      </c>
    </row>
    <row r="51" spans="51:74" s="1" customFormat="1" ht="25.05" customHeight="1" x14ac:dyDescent="0.3">
      <c r="AZ51" s="81">
        <v>1000</v>
      </c>
      <c r="BA51" s="81">
        <v>1250</v>
      </c>
      <c r="BB51" s="81">
        <v>1800</v>
      </c>
      <c r="BC51" s="81">
        <v>2000</v>
      </c>
      <c r="BD51" s="81">
        <v>2500</v>
      </c>
      <c r="BE51" s="81">
        <v>2700</v>
      </c>
      <c r="BF51" s="81">
        <v>3000</v>
      </c>
      <c r="BG51" s="81">
        <v>3600</v>
      </c>
      <c r="BH51" s="81">
        <v>3750</v>
      </c>
      <c r="BI51" s="81">
        <v>4000</v>
      </c>
      <c r="BJ51" s="81">
        <v>5000</v>
      </c>
      <c r="BK51" s="112">
        <v>5400</v>
      </c>
      <c r="BL51" s="140"/>
      <c r="BM51" s="139"/>
      <c r="BN51" s="139"/>
      <c r="BO51" s="139"/>
      <c r="BP51" s="139"/>
      <c r="BQ51" s="139"/>
      <c r="BR51" s="139"/>
      <c r="BV51" s="30" t="str">
        <f>Подвесная!BU50</f>
        <v>Серебро матовое</v>
      </c>
    </row>
    <row r="52" spans="51:74" s="1" customFormat="1" ht="25.05" customHeight="1" x14ac:dyDescent="0.3"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250">
        <f>BK39</f>
        <v>0</v>
      </c>
      <c r="BL52" s="111"/>
      <c r="BM52" s="111"/>
      <c r="BN52" s="111"/>
      <c r="BO52" s="111"/>
      <c r="BP52" s="111"/>
      <c r="BQ52" s="111"/>
      <c r="BR52" s="111"/>
      <c r="BV52" s="30" t="str">
        <f>Подвесная!BU51</f>
        <v>Черный матовый</v>
      </c>
    </row>
    <row r="53" spans="51:74" s="1" customFormat="1" ht="25.05" customHeight="1" x14ac:dyDescent="0.3">
      <c r="AZ53" s="149"/>
      <c r="BA53" s="149"/>
      <c r="BB53" s="149"/>
      <c r="BC53" s="149"/>
      <c r="BD53" s="150">
        <f>IF(AND(BL53&gt;0,BL53&lt;=2500),1,0)</f>
        <v>1</v>
      </c>
      <c r="BE53" s="149"/>
      <c r="BF53" s="149"/>
      <c r="BG53" s="149"/>
      <c r="BH53" s="149"/>
      <c r="BI53" s="149"/>
      <c r="BJ53" s="150">
        <f>IF(AND(BL53&gt;2500,BL53&lt;=4950),BM53+1,BM53)</f>
        <v>0</v>
      </c>
      <c r="BK53" s="149"/>
      <c r="BL53" s="151">
        <f>BL38</f>
        <v>800</v>
      </c>
      <c r="BM53" s="151">
        <f t="shared" ref="BM53:BP53" si="32">BM38</f>
        <v>0</v>
      </c>
      <c r="BN53" s="151">
        <f t="shared" si="32"/>
        <v>0</v>
      </c>
      <c r="BO53" s="151">
        <f t="shared" si="32"/>
        <v>0</v>
      </c>
      <c r="BP53" s="151">
        <f t="shared" si="32"/>
        <v>0</v>
      </c>
      <c r="BQ53" s="151"/>
      <c r="BR53" s="151"/>
      <c r="BV53" s="30" t="str">
        <f>Подвесная!BU52</f>
        <v>Слоновая кость</v>
      </c>
    </row>
    <row r="54" spans="51:74" s="1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51">
        <f t="shared" ref="BL54:BP54" si="33">BL39</f>
        <v>0</v>
      </c>
      <c r="BM54" s="151">
        <f t="shared" si="33"/>
        <v>0</v>
      </c>
      <c r="BN54" s="151">
        <f t="shared" si="33"/>
        <v>0</v>
      </c>
      <c r="BO54" s="151">
        <f t="shared" si="33"/>
        <v>0</v>
      </c>
      <c r="BP54" s="151">
        <f t="shared" si="33"/>
        <v>0</v>
      </c>
      <c r="BQ54" s="151"/>
      <c r="BR54" s="151"/>
      <c r="BV54" s="30" t="str">
        <f>Подвесная!BU53</f>
        <v>Белый матовый</v>
      </c>
    </row>
    <row r="55" spans="51:74" s="1" customFormat="1" ht="25.05" customHeight="1" x14ac:dyDescent="0.3">
      <c r="AZ55" s="152"/>
      <c r="BA55" s="152"/>
      <c r="BB55" s="152"/>
      <c r="BC55" s="152"/>
      <c r="BD55" s="153">
        <f>IF(AND(BL55&gt;0,BL55&lt;=2500),1,0)</f>
        <v>1</v>
      </c>
      <c r="BE55" s="152"/>
      <c r="BF55" s="152"/>
      <c r="BG55" s="152"/>
      <c r="BH55" s="152"/>
      <c r="BI55" s="152"/>
      <c r="BJ55" s="153">
        <f>IF(AND(BL55&gt;2500,BL55&lt;=5025),BM55+1,BM55)</f>
        <v>0</v>
      </c>
      <c r="BK55" s="152"/>
      <c r="BL55" s="151">
        <f t="shared" ref="BL55:BP55" si="34">BL40</f>
        <v>1600</v>
      </c>
      <c r="BM55" s="151">
        <f t="shared" si="34"/>
        <v>0</v>
      </c>
      <c r="BN55" s="151">
        <f t="shared" si="34"/>
        <v>0</v>
      </c>
      <c r="BO55" s="151">
        <f t="shared" si="34"/>
        <v>0</v>
      </c>
      <c r="BP55" s="151">
        <f t="shared" si="34"/>
        <v>0</v>
      </c>
      <c r="BQ55" s="151"/>
      <c r="BR55" s="151"/>
      <c r="BV55" s="30" t="str">
        <f>Подвесная!BU54</f>
        <v xml:space="preserve">Венге темный </v>
      </c>
    </row>
    <row r="56" spans="51:74" s="1" customFormat="1" ht="25.05" customHeight="1" x14ac:dyDescent="0.3">
      <c r="AZ56" s="113"/>
      <c r="BA56" s="113"/>
      <c r="BB56" s="113"/>
      <c r="BC56" s="113"/>
      <c r="BD56" s="111">
        <f>IF(AND(BL56&gt;0,BL56&lt;=2500),1,0)</f>
        <v>1</v>
      </c>
      <c r="BE56" s="113"/>
      <c r="BF56" s="113"/>
      <c r="BG56" s="113"/>
      <c r="BH56" s="113"/>
      <c r="BI56" s="113"/>
      <c r="BJ56" s="111">
        <f>IF(AND(BL56&gt;2500,BL56&lt;=4950),BM56+1,BM56)</f>
        <v>0</v>
      </c>
      <c r="BK56" s="113"/>
      <c r="BL56" s="151">
        <f t="shared" ref="BL56:BP56" si="35">BL41</f>
        <v>776</v>
      </c>
      <c r="BM56" s="151">
        <f t="shared" si="35"/>
        <v>0</v>
      </c>
      <c r="BN56" s="151">
        <f t="shared" si="35"/>
        <v>0</v>
      </c>
      <c r="BO56" s="151">
        <f t="shared" si="35"/>
        <v>0</v>
      </c>
      <c r="BP56" s="151">
        <f t="shared" si="35"/>
        <v>0</v>
      </c>
      <c r="BQ56" s="151"/>
      <c r="BR56" s="151"/>
      <c r="BV56" s="30" t="str">
        <f>Подвесная!BU55</f>
        <v>Дуб белый</v>
      </c>
    </row>
    <row r="57" spans="51:74" s="1" customFormat="1" ht="25.05" customHeight="1" x14ac:dyDescent="0.3">
      <c r="AZ57" s="113"/>
      <c r="BA57" s="113"/>
      <c r="BB57" s="143">
        <f>IF(AND(J14=BY6,BO57&gt;0,BO57&lt;=1800),1,0)</f>
        <v>0</v>
      </c>
      <c r="BC57" s="113"/>
      <c r="BD57" s="142">
        <f>IF(AND(J14=BY7,BL57&gt;0,BL57&lt;=2500),1,0)</f>
        <v>0</v>
      </c>
      <c r="BE57" s="143">
        <f>IF(AND(J14=BY6,BO57&gt;1800,BO57&lt;=2700),1,0)</f>
        <v>0</v>
      </c>
      <c r="BF57" s="113"/>
      <c r="BG57" s="143">
        <f>IF(AND(J14=BY6,BO57&gt;2700,BO57&lt;=3600),1,0)</f>
        <v>0</v>
      </c>
      <c r="BH57" s="113"/>
      <c r="BI57" s="113"/>
      <c r="BJ57" s="142">
        <f>IF(AND(J14=BY7,BL57&gt;2500,BL57&lt;=4950),BM57+1,BM57)</f>
        <v>0</v>
      </c>
      <c r="BK57" s="143">
        <f>IF(AND(J14=BY6,BO57&gt;3600,BO57&lt;=5350),BP57+1,BP57)</f>
        <v>0</v>
      </c>
      <c r="BL57" s="151">
        <f t="shared" ref="BL57:BP57" si="36">BL42</f>
        <v>0</v>
      </c>
      <c r="BM57" s="151">
        <f t="shared" si="36"/>
        <v>0</v>
      </c>
      <c r="BN57" s="151">
        <f t="shared" si="36"/>
        <v>0</v>
      </c>
      <c r="BO57" s="151">
        <f t="shared" si="36"/>
        <v>0</v>
      </c>
      <c r="BP57" s="151">
        <f t="shared" si="36"/>
        <v>0</v>
      </c>
      <c r="BQ57" s="151"/>
      <c r="BR57" s="151"/>
      <c r="BV57" s="30" t="str">
        <f>Подвесная!BU56</f>
        <v xml:space="preserve"> медь античная*</v>
      </c>
    </row>
    <row r="58" spans="51:74" s="1" customFormat="1" ht="25.05" customHeight="1" x14ac:dyDescent="0.3">
      <c r="AZ58" s="144"/>
      <c r="BA58" s="144"/>
      <c r="BB58" s="144"/>
      <c r="BC58" s="144"/>
      <c r="BD58" s="144"/>
      <c r="BE58" s="111">
        <f>IF(AND(BO58&gt;0,BO58&lt;=2700),1,0)</f>
        <v>0</v>
      </c>
      <c r="BF58" s="144"/>
      <c r="BG58" s="144"/>
      <c r="BH58" s="144"/>
      <c r="BI58" s="144"/>
      <c r="BJ58" s="144"/>
      <c r="BK58" s="111">
        <f>IF(AND(BO58&gt;2700,BO58&lt;=5350),BP58+1,BP58)</f>
        <v>0</v>
      </c>
      <c r="BL58" s="151">
        <f t="shared" ref="BL58:BP58" si="37">BL43</f>
        <v>0</v>
      </c>
      <c r="BM58" s="151">
        <f t="shared" si="37"/>
        <v>0</v>
      </c>
      <c r="BN58" s="151">
        <f t="shared" si="37"/>
        <v>0</v>
      </c>
      <c r="BO58" s="151">
        <f t="shared" si="37"/>
        <v>0</v>
      </c>
      <c r="BP58" s="151">
        <f t="shared" si="37"/>
        <v>0</v>
      </c>
      <c r="BQ58" s="151"/>
      <c r="BR58" s="151"/>
      <c r="BV58" s="30" t="str">
        <f>Подвесная!BU57</f>
        <v>сталь воронёная</v>
      </c>
    </row>
    <row r="59" spans="51:74" x14ac:dyDescent="0.3">
      <c r="BV59" s="30" t="str">
        <f>Подвесная!BU58</f>
        <v>золото матовое</v>
      </c>
    </row>
    <row r="60" spans="51:74" x14ac:dyDescent="0.3">
      <c r="BV60" s="30" t="str">
        <f>Подвесная!BU59</f>
        <v>антрацит</v>
      </c>
    </row>
    <row r="61" spans="51:74" x14ac:dyDescent="0.3">
      <c r="BV61" s="30" t="str">
        <f>Подвесная!BU60</f>
        <v>кварц бронзовый*</v>
      </c>
    </row>
    <row r="62" spans="51:74" x14ac:dyDescent="0.3">
      <c r="BV62" s="30" t="str">
        <f>Подвесная!BU61</f>
        <v>жемчуг серый*</v>
      </c>
    </row>
    <row r="63" spans="51:74" x14ac:dyDescent="0.3">
      <c r="BV63" s="30" t="str">
        <f>Подвесная!BU62</f>
        <v>жемчуг розовый*</v>
      </c>
    </row>
  </sheetData>
  <sheetProtection algorithmName="SHA-512" hashValue="iRbujZ1tKOu+pA4bqilapt/7NS89fvndkmag+Ms/yMEXdqcB9YD5to8RUepKyNEW8KW/MN6aZWUqlvE2fQ7vEw==" saltValue="Uohw0VnAlGAAKPnsffhwFA==" spinCount="100000" sheet="1" selectLockedCells="1"/>
  <mergeCells count="52">
    <mergeCell ref="J27:M27"/>
    <mergeCell ref="J28:M28"/>
    <mergeCell ref="W3:Y3"/>
    <mergeCell ref="C26:D26"/>
    <mergeCell ref="E23:G23"/>
    <mergeCell ref="J21:L21"/>
    <mergeCell ref="R10:R11"/>
    <mergeCell ref="U10:U11"/>
    <mergeCell ref="C24:D24"/>
    <mergeCell ref="U16:AG16"/>
    <mergeCell ref="AF10:AF11"/>
    <mergeCell ref="Y10:Y11"/>
    <mergeCell ref="Z10:Z11"/>
    <mergeCell ref="X10:X11"/>
    <mergeCell ref="W10:W11"/>
    <mergeCell ref="AB10:AB11"/>
    <mergeCell ref="J24:M24"/>
    <mergeCell ref="J26:M26"/>
    <mergeCell ref="E4:H4"/>
    <mergeCell ref="E5:H5"/>
    <mergeCell ref="E6:H6"/>
    <mergeCell ref="E7:H7"/>
    <mergeCell ref="AC18:AG18"/>
    <mergeCell ref="AE10:AE11"/>
    <mergeCell ref="Q33:Q34"/>
    <mergeCell ref="B1:H1"/>
    <mergeCell ref="J1:O1"/>
    <mergeCell ref="J22:M22"/>
    <mergeCell ref="J23:M23"/>
    <mergeCell ref="J25:M25"/>
    <mergeCell ref="E8:H8"/>
    <mergeCell ref="E9:H9"/>
    <mergeCell ref="B3:D3"/>
    <mergeCell ref="B4:D4"/>
    <mergeCell ref="B5:D5"/>
    <mergeCell ref="B6:D6"/>
    <mergeCell ref="B7:D7"/>
    <mergeCell ref="B8:D8"/>
    <mergeCell ref="B9:D9"/>
    <mergeCell ref="E3:H3"/>
    <mergeCell ref="Z3:AA3"/>
    <mergeCell ref="V10:V11"/>
    <mergeCell ref="AC10:AC11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</mergeCells>
  <conditionalFormatting sqref="C24">
    <cfRule type="expression" dxfId="20" priority="1140">
      <formula>$C$24=$BV$46</formula>
    </cfRule>
  </conditionalFormatting>
  <conditionalFormatting sqref="C26">
    <cfRule type="expression" dxfId="19" priority="1139">
      <formula>$C$26=$BV$49</formula>
    </cfRule>
  </conditionalFormatting>
  <conditionalFormatting sqref="C24:D24">
    <cfRule type="expression" dxfId="18" priority="1138">
      <formula>$C$24=$BV$45</formula>
    </cfRule>
  </conditionalFormatting>
  <conditionalFormatting sqref="E9">
    <cfRule type="expression" dxfId="17" priority="1135">
      <formula>$E$8=$BV$17</formula>
    </cfRule>
  </conditionalFormatting>
  <conditionalFormatting sqref="H27">
    <cfRule type="expression" dxfId="16" priority="1136">
      <formula>AND($E$8=$BV$18,$H$27&gt;30)</formula>
    </cfRule>
    <cfRule type="expression" dxfId="15" priority="1137">
      <formula>$H$27&gt;50</formula>
    </cfRule>
  </conditionalFormatting>
  <conditionalFormatting sqref="K4">
    <cfRule type="expression" dxfId="14" priority="89">
      <formula>$K$4&gt;3200</formula>
    </cfRule>
  </conditionalFormatting>
  <conditionalFormatting sqref="K4:K5 L9:Q10 S9:AH10 AU11:AU15 S12:AH13 AT12:AW13 P12:Q15 U13:AG15 T14:AF15 S14:S16 U15:AH15 AH16 AV17 K20:L20 P23:Q27 S23:S27 S32">
    <cfRule type="expression" dxfId="13" priority="916">
      <formula>$E$4=0</formula>
    </cfRule>
  </conditionalFormatting>
  <conditionalFormatting sqref="K4:K5 T16 S17 E18 F18:H22 H23 P28:Q28 S28:S31 O29:Q31">
    <cfRule type="expression" dxfId="12" priority="930">
      <formula>$E$4=0</formula>
    </cfRule>
  </conditionalFormatting>
  <conditionalFormatting sqref="K5">
    <cfRule type="expression" dxfId="11" priority="53">
      <formula>OR($K$5&lt;200,$K$5&gt;1200)</formula>
    </cfRule>
  </conditionalFormatting>
  <conditionalFormatting sqref="L11:O17">
    <cfRule type="expression" dxfId="10" priority="1">
      <formula>$E$4=0</formula>
    </cfRule>
  </conditionalFormatting>
  <conditionalFormatting sqref="O23:O28">
    <cfRule type="expression" dxfId="9" priority="3">
      <formula>$E$4=0</formula>
    </cfRule>
  </conditionalFormatting>
  <conditionalFormatting sqref="S34:T34">
    <cfRule type="expression" dxfId="8" priority="914">
      <formula>$E$4=0</formula>
    </cfRule>
  </conditionalFormatting>
  <conditionalFormatting sqref="S34:AW34 R1:AH2 AI1:AW13 R3:T3 V3:W3 Z3:AH3 S4:AH5 R6:AH6 S7:AH13 U13:AG15 AI14:AU15 T14:AH16 S14:S17 AI16:AW16 AV17 R18:AB18 AI18:AW18 R19:AW19 R20:S21 S22:S33">
    <cfRule type="expression" dxfId="7" priority="1141">
      <formula>$N$3=$CE$9</formula>
    </cfRule>
  </conditionalFormatting>
  <conditionalFormatting sqref="T34:AW34 T1:AW2 T3 V3:W3 Z3:AW3 T4:AW13 T14:AU15 T16:AW16 AV17 T18:AB18 AI18:AW18 T19:AW19">
    <cfRule type="expression" dxfId="6" priority="1154">
      <formula>$N$3=$CE$10</formula>
    </cfRule>
  </conditionalFormatting>
  <conditionalFormatting sqref="U9:AF15">
    <cfRule type="cellIs" dxfId="5" priority="14" operator="equal">
      <formula>0</formula>
    </cfRule>
  </conditionalFormatting>
  <conditionalFormatting sqref="U22:AF28">
    <cfRule type="cellIs" dxfId="4" priority="13" operator="equal">
      <formula>0</formula>
    </cfRule>
  </conditionalFormatting>
  <conditionalFormatting sqref="AB3:AC3">
    <cfRule type="expression" dxfId="3" priority="38">
      <formula>$CF$19=FALSE</formula>
    </cfRule>
  </conditionalFormatting>
  <conditionalFormatting sqref="AI9:AI16 AJ10:AT10 AJ12:AT15">
    <cfRule type="expression" dxfId="2" priority="23">
      <formula>$E$4=0</formula>
    </cfRule>
  </conditionalFormatting>
  <conditionalFormatting sqref="AJ9:AW10 AJ12:AP13">
    <cfRule type="expression" dxfId="1" priority="17">
      <formula>$E$4=0</formula>
    </cfRule>
  </conditionalFormatting>
  <conditionalFormatting sqref="AJ15:AW16">
    <cfRule type="expression" dxfId="0" priority="11">
      <formula>$E$4=0</formula>
    </cfRule>
  </conditionalFormatting>
  <dataValidations count="7">
    <dataValidation type="whole" allowBlank="1" showInputMessage="1" showErrorMessage="1" sqref="E9" xr:uid="{00000000-0002-0000-0400-000000000000}">
      <formula1>1</formula1>
      <formula2>10</formula2>
    </dataValidation>
    <dataValidation type="list" allowBlank="1" showInputMessage="1" showErrorMessage="1" sqref="E5" xr:uid="{00000000-0002-0000-0400-000001000000}">
      <formula1>$BV$30:$BV$34</formula1>
    </dataValidation>
    <dataValidation type="list" allowBlank="1" showInputMessage="1" showErrorMessage="1" sqref="C18:C22" xr:uid="{00000000-0002-0000-0400-000002000000}">
      <formula1>$BV$10:$BV$12</formula1>
    </dataValidation>
    <dataValidation type="list" allowBlank="1" showInputMessage="1" showErrorMessage="1" sqref="E7:H7" xr:uid="{00000000-0002-0000-0400-000003000000}">
      <formula1>$BV$51:$BV$63</formula1>
    </dataValidation>
    <dataValidation type="list" allowBlank="1" showInputMessage="1" showErrorMessage="1" sqref="Z3:AA3" xr:uid="{00000000-0002-0000-0400-000004000000}">
      <formula1>$CE$21:$CE$28</formula1>
    </dataValidation>
    <dataValidation type="whole" allowBlank="1" showInputMessage="1" showErrorMessage="1" sqref="E6:H6" xr:uid="{00000000-0002-0000-0400-000005000000}">
      <formula1>0</formula1>
      <formula2>50</formula2>
    </dataValidation>
    <dataValidation type="list" allowBlank="1" showInputMessage="1" showErrorMessage="1" sqref="E8:H8" xr:uid="{00000000-0002-0000-0400-000006000000}">
      <formula1>$BV$19:$BV$20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ignoredErrors>
    <ignoredError sqref="L12 O15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customWidth="1"/>
    <col min="2" max="2" width="18.5546875" customWidth="1"/>
    <col min="3" max="3" width="47.88671875" hidden="1" customWidth="1"/>
    <col min="4" max="4" width="36" style="75" customWidth="1"/>
    <col min="5" max="5" width="17.109375" hidden="1" customWidth="1"/>
    <col min="6" max="6" width="23.77734375" style="75" customWidth="1"/>
    <col min="7" max="7" width="16.33203125" style="75" customWidth="1"/>
    <col min="8" max="9" width="13.6640625" customWidth="1"/>
    <col min="10" max="10" width="13.6640625" style="37" customWidth="1"/>
    <col min="11" max="11" width="18.44140625" style="37" customWidth="1"/>
    <col min="12" max="13" width="12.21875" hidden="1" customWidth="1"/>
    <col min="14" max="14" width="14.109375" hidden="1" customWidth="1"/>
    <col min="15" max="15" width="14.6640625" hidden="1" customWidth="1"/>
    <col min="16" max="16" width="9.109375" customWidth="1"/>
  </cols>
  <sheetData>
    <row r="1" spans="1:15" x14ac:dyDescent="0.3">
      <c r="A1" s="19"/>
      <c r="B1" s="20"/>
      <c r="C1" s="20"/>
      <c r="D1" s="169"/>
      <c r="E1" s="20"/>
      <c r="F1" s="169"/>
      <c r="G1" s="24"/>
      <c r="H1" s="19"/>
      <c r="I1" s="22"/>
      <c r="J1" s="23"/>
      <c r="K1" s="23"/>
    </row>
    <row r="2" spans="1:15" x14ac:dyDescent="0.3">
      <c r="A2" s="19"/>
      <c r="B2" s="20"/>
      <c r="C2" s="20"/>
      <c r="D2" s="169"/>
      <c r="E2" s="20"/>
      <c r="F2" s="169"/>
      <c r="G2" s="24"/>
      <c r="H2" s="24"/>
      <c r="I2" s="25"/>
      <c r="J2" s="25" t="s">
        <v>183</v>
      </c>
      <c r="K2" s="97" t="s">
        <v>185</v>
      </c>
      <c r="N2" t="s">
        <v>185</v>
      </c>
    </row>
    <row r="3" spans="1:15" x14ac:dyDescent="0.3">
      <c r="A3" s="19"/>
      <c r="B3" s="4"/>
      <c r="C3" s="4"/>
      <c r="D3" s="169"/>
      <c r="E3" s="20"/>
      <c r="F3" s="169"/>
      <c r="G3" s="24"/>
      <c r="H3" s="306" t="s">
        <v>25</v>
      </c>
      <c r="I3" s="305"/>
      <c r="J3" s="305"/>
      <c r="K3" s="95">
        <v>0</v>
      </c>
      <c r="N3" t="s">
        <v>184</v>
      </c>
    </row>
    <row r="4" spans="1:15" x14ac:dyDescent="0.3">
      <c r="A4" s="19"/>
      <c r="B4" s="4"/>
      <c r="C4" s="4"/>
      <c r="D4" s="169"/>
      <c r="E4" s="20"/>
      <c r="F4" s="169"/>
      <c r="G4" s="24"/>
      <c r="H4" s="23"/>
      <c r="I4" s="23"/>
      <c r="J4" s="23"/>
      <c r="K4" s="26"/>
    </row>
    <row r="5" spans="1:15" s="19" customFormat="1" ht="30" customHeight="1" x14ac:dyDescent="0.25">
      <c r="B5" s="135" t="s">
        <v>514</v>
      </c>
      <c r="C5" s="135"/>
      <c r="D5" s="135" t="s">
        <v>26</v>
      </c>
      <c r="E5" s="304"/>
      <c r="F5" s="135" t="s">
        <v>27</v>
      </c>
      <c r="G5" s="135" t="s">
        <v>28</v>
      </c>
      <c r="H5" s="135" t="s">
        <v>131</v>
      </c>
      <c r="I5" s="135" t="s">
        <v>29</v>
      </c>
      <c r="J5" s="136" t="s">
        <v>187</v>
      </c>
      <c r="K5" s="137" t="s">
        <v>186</v>
      </c>
    </row>
    <row r="6" spans="1:15" s="19" customFormat="1" ht="20.100000000000001" customHeight="1" x14ac:dyDescent="0.25">
      <c r="B6" s="541"/>
      <c r="C6" s="299" t="s">
        <v>2</v>
      </c>
      <c r="D6" s="543" t="s">
        <v>513</v>
      </c>
      <c r="E6" s="555" t="s">
        <v>30</v>
      </c>
      <c r="F6" s="168" t="s">
        <v>270</v>
      </c>
      <c r="G6" s="29" t="s">
        <v>227</v>
      </c>
      <c r="H6" s="551">
        <v>5.4</v>
      </c>
      <c r="I6" s="541" t="s">
        <v>31</v>
      </c>
      <c r="J6" s="125">
        <f>K6-K6*$K$3</f>
        <v>5410.98</v>
      </c>
      <c r="K6" s="36">
        <f t="shared" ref="K6:K39" si="0">IF($K$2=$N$2,N6,O6)</f>
        <v>5410.98</v>
      </c>
      <c r="L6" s="28"/>
      <c r="M6" s="28"/>
      <c r="N6" s="163">
        <v>5410.98</v>
      </c>
      <c r="O6" s="36">
        <f>N6*1.05</f>
        <v>5681.5289999999995</v>
      </c>
    </row>
    <row r="7" spans="1:15" s="19" customFormat="1" ht="20.100000000000001" customHeight="1" x14ac:dyDescent="0.25">
      <c r="B7" s="554"/>
      <c r="C7" s="299" t="s">
        <v>2</v>
      </c>
      <c r="D7" s="550"/>
      <c r="E7" s="555"/>
      <c r="F7" s="168" t="s">
        <v>303</v>
      </c>
      <c r="G7" s="29" t="s">
        <v>132</v>
      </c>
      <c r="H7" s="552"/>
      <c r="I7" s="554"/>
      <c r="J7" s="125">
        <f t="shared" ref="J7:J89" si="1">K7-K7*$K$3</f>
        <v>5840.38</v>
      </c>
      <c r="K7" s="36">
        <f t="shared" si="0"/>
        <v>5840.38</v>
      </c>
      <c r="L7" s="28"/>
      <c r="M7" s="28"/>
      <c r="N7" s="163">
        <v>5840.38</v>
      </c>
      <c r="O7" s="36">
        <f>N7*1.05</f>
        <v>6132.3990000000003</v>
      </c>
    </row>
    <row r="8" spans="1:15" s="19" customFormat="1" ht="20.100000000000001" customHeight="1" x14ac:dyDescent="0.25">
      <c r="B8" s="554"/>
      <c r="C8" s="299" t="s">
        <v>2</v>
      </c>
      <c r="D8" s="550"/>
      <c r="E8" s="555" t="s">
        <v>32</v>
      </c>
      <c r="F8" s="168" t="s">
        <v>291</v>
      </c>
      <c r="G8" s="29" t="s">
        <v>228</v>
      </c>
      <c r="H8" s="552"/>
      <c r="I8" s="554"/>
      <c r="J8" s="125">
        <f t="shared" ref="J8" si="2">K8-K8*$K$3</f>
        <v>6994.45</v>
      </c>
      <c r="K8" s="36">
        <f t="shared" si="0"/>
        <v>6994.45</v>
      </c>
      <c r="L8" s="28"/>
      <c r="M8" s="28"/>
      <c r="N8" s="164">
        <v>6994.45</v>
      </c>
      <c r="O8" s="36">
        <f>N8*1.05</f>
        <v>7344.1724999999997</v>
      </c>
    </row>
    <row r="9" spans="1:15" s="19" customFormat="1" ht="20.100000000000001" customHeight="1" x14ac:dyDescent="0.25">
      <c r="B9" s="554"/>
      <c r="C9" s="299" t="s">
        <v>2</v>
      </c>
      <c r="D9" s="550"/>
      <c r="E9" s="555"/>
      <c r="F9" s="168" t="s">
        <v>276</v>
      </c>
      <c r="G9" s="29" t="s">
        <v>133</v>
      </c>
      <c r="H9" s="552"/>
      <c r="I9" s="554"/>
      <c r="J9" s="125">
        <f t="shared" si="1"/>
        <v>6994.45</v>
      </c>
      <c r="K9" s="36">
        <f t="shared" si="0"/>
        <v>6994.45</v>
      </c>
      <c r="L9" s="28"/>
      <c r="M9" s="28"/>
      <c r="N9" s="36">
        <v>6994.45</v>
      </c>
      <c r="O9" s="126">
        <f t="shared" ref="O9:O18" si="3">N9*1.05</f>
        <v>7344.1724999999997</v>
      </c>
    </row>
    <row r="10" spans="1:15" s="19" customFormat="1" ht="20.100000000000001" customHeight="1" x14ac:dyDescent="0.25">
      <c r="B10" s="554"/>
      <c r="C10" s="299" t="s">
        <v>2</v>
      </c>
      <c r="D10" s="550"/>
      <c r="E10" s="555"/>
      <c r="F10" s="168" t="s">
        <v>281</v>
      </c>
      <c r="G10" s="29" t="s">
        <v>33</v>
      </c>
      <c r="H10" s="552"/>
      <c r="I10" s="554"/>
      <c r="J10" s="125">
        <f t="shared" ref="J10:J11" si="4">K10-K10*$K$3</f>
        <v>6994.45</v>
      </c>
      <c r="K10" s="36">
        <f t="shared" si="0"/>
        <v>6994.45</v>
      </c>
      <c r="L10" s="28"/>
      <c r="M10" s="28"/>
      <c r="N10" s="36">
        <v>6994.45</v>
      </c>
      <c r="O10" s="126">
        <f t="shared" si="3"/>
        <v>7344.1724999999997</v>
      </c>
    </row>
    <row r="11" spans="1:15" s="19" customFormat="1" ht="20.100000000000001" customHeight="1" x14ac:dyDescent="0.25">
      <c r="B11" s="554"/>
      <c r="C11" s="299" t="s">
        <v>2</v>
      </c>
      <c r="D11" s="550"/>
      <c r="E11" s="555"/>
      <c r="F11" s="168" t="s">
        <v>286</v>
      </c>
      <c r="G11" s="29" t="s">
        <v>34</v>
      </c>
      <c r="H11" s="552"/>
      <c r="I11" s="554"/>
      <c r="J11" s="125">
        <f t="shared" si="4"/>
        <v>6994.45</v>
      </c>
      <c r="K11" s="36">
        <f t="shared" si="0"/>
        <v>6994.45</v>
      </c>
      <c r="L11" s="28"/>
      <c r="M11" s="28"/>
      <c r="N11" s="36">
        <v>6994.45</v>
      </c>
      <c r="O11" s="126">
        <f t="shared" si="3"/>
        <v>7344.1724999999997</v>
      </c>
    </row>
    <row r="12" spans="1:15" s="19" customFormat="1" ht="20.100000000000001" customHeight="1" x14ac:dyDescent="0.25">
      <c r="B12" s="554"/>
      <c r="C12" s="299" t="s">
        <v>2</v>
      </c>
      <c r="D12" s="550"/>
      <c r="E12" s="555"/>
      <c r="F12" s="168" t="s">
        <v>295</v>
      </c>
      <c r="G12" s="29" t="s">
        <v>229</v>
      </c>
      <c r="H12" s="552"/>
      <c r="I12" s="554"/>
      <c r="J12" s="125">
        <f t="shared" ref="J12" si="5">K12-K12*$K$3</f>
        <v>6994.45</v>
      </c>
      <c r="K12" s="36">
        <f t="shared" si="0"/>
        <v>6994.45</v>
      </c>
      <c r="L12" s="28"/>
      <c r="M12" s="28"/>
      <c r="N12" s="36">
        <v>6994.45</v>
      </c>
      <c r="O12" s="126">
        <f t="shared" si="3"/>
        <v>7344.1724999999997</v>
      </c>
    </row>
    <row r="13" spans="1:15" s="19" customFormat="1" ht="20.100000000000001" customHeight="1" x14ac:dyDescent="0.25">
      <c r="B13" s="554"/>
      <c r="C13" s="299" t="s">
        <v>2</v>
      </c>
      <c r="D13" s="550"/>
      <c r="E13" s="555"/>
      <c r="F13" s="168" t="s">
        <v>298</v>
      </c>
      <c r="G13" s="29" t="s">
        <v>476</v>
      </c>
      <c r="H13" s="552"/>
      <c r="I13" s="554"/>
      <c r="J13" s="125">
        <f t="shared" ref="J13" si="6">K13-K13*$K$3</f>
        <v>6994.45</v>
      </c>
      <c r="K13" s="36">
        <f t="shared" si="0"/>
        <v>6994.45</v>
      </c>
      <c r="L13" s="28"/>
      <c r="M13" s="28"/>
      <c r="N13" s="36">
        <v>6994.45</v>
      </c>
      <c r="O13" s="126">
        <f t="shared" si="3"/>
        <v>7344.1724999999997</v>
      </c>
    </row>
    <row r="14" spans="1:15" s="19" customFormat="1" ht="20.100000000000001" customHeight="1" x14ac:dyDescent="0.25">
      <c r="B14" s="554"/>
      <c r="C14" s="299" t="s">
        <v>2</v>
      </c>
      <c r="D14" s="550"/>
      <c r="E14" s="29"/>
      <c r="F14" s="168" t="s">
        <v>499</v>
      </c>
      <c r="G14" s="29" t="s">
        <v>474</v>
      </c>
      <c r="H14" s="552"/>
      <c r="I14" s="554"/>
      <c r="J14" s="125">
        <f t="shared" ref="J14:J18" si="7">K14-K14*$K$3</f>
        <v>6994.45</v>
      </c>
      <c r="K14" s="36">
        <f t="shared" si="0"/>
        <v>6994.45</v>
      </c>
      <c r="L14" s="28"/>
      <c r="M14" s="28"/>
      <c r="N14" s="36">
        <v>6994.45</v>
      </c>
      <c r="O14" s="126">
        <f t="shared" si="3"/>
        <v>7344.1724999999997</v>
      </c>
    </row>
    <row r="15" spans="1:15" s="19" customFormat="1" ht="20.100000000000001" customHeight="1" x14ac:dyDescent="0.25">
      <c r="B15" s="554"/>
      <c r="C15" s="299" t="s">
        <v>2</v>
      </c>
      <c r="D15" s="550"/>
      <c r="E15" s="29"/>
      <c r="F15" s="168" t="s">
        <v>480</v>
      </c>
      <c r="G15" s="29" t="s">
        <v>471</v>
      </c>
      <c r="H15" s="552"/>
      <c r="I15" s="554"/>
      <c r="J15" s="125">
        <f t="shared" si="7"/>
        <v>6994.45</v>
      </c>
      <c r="K15" s="36">
        <f t="shared" si="0"/>
        <v>6994.45</v>
      </c>
      <c r="L15" s="28"/>
      <c r="M15" s="28"/>
      <c r="N15" s="36">
        <v>6994.45</v>
      </c>
      <c r="O15" s="126">
        <f t="shared" si="3"/>
        <v>7344.1724999999997</v>
      </c>
    </row>
    <row r="16" spans="1:15" s="19" customFormat="1" ht="20.100000000000001" customHeight="1" x14ac:dyDescent="0.25">
      <c r="B16" s="554"/>
      <c r="C16" s="299" t="s">
        <v>2</v>
      </c>
      <c r="D16" s="550"/>
      <c r="E16" s="29"/>
      <c r="F16" s="168" t="s">
        <v>494</v>
      </c>
      <c r="G16" s="29" t="s">
        <v>475</v>
      </c>
      <c r="H16" s="552"/>
      <c r="I16" s="554"/>
      <c r="J16" s="125">
        <f t="shared" si="7"/>
        <v>6994.45</v>
      </c>
      <c r="K16" s="36">
        <f t="shared" si="0"/>
        <v>6994.45</v>
      </c>
      <c r="L16" s="28"/>
      <c r="M16" s="28"/>
      <c r="N16" s="36">
        <v>6994.45</v>
      </c>
      <c r="O16" s="126">
        <f t="shared" si="3"/>
        <v>7344.1724999999997</v>
      </c>
    </row>
    <row r="17" spans="2:15" s="19" customFormat="1" ht="20.100000000000001" customHeight="1" x14ac:dyDescent="0.25">
      <c r="B17" s="554"/>
      <c r="C17" s="299" t="s">
        <v>2</v>
      </c>
      <c r="D17" s="550"/>
      <c r="E17" s="29"/>
      <c r="F17" s="168" t="s">
        <v>490</v>
      </c>
      <c r="G17" s="29" t="s">
        <v>473</v>
      </c>
      <c r="H17" s="552"/>
      <c r="I17" s="554"/>
      <c r="J17" s="125">
        <f t="shared" si="7"/>
        <v>6994.45</v>
      </c>
      <c r="K17" s="36">
        <f t="shared" si="0"/>
        <v>6994.45</v>
      </c>
      <c r="L17" s="28"/>
      <c r="M17" s="28"/>
      <c r="N17" s="36">
        <v>6994.45</v>
      </c>
      <c r="O17" s="126">
        <f t="shared" si="3"/>
        <v>7344.1724999999997</v>
      </c>
    </row>
    <row r="18" spans="2:15" s="19" customFormat="1" ht="20.100000000000001" customHeight="1" x14ac:dyDescent="0.25">
      <c r="B18" s="542"/>
      <c r="C18" s="299" t="s">
        <v>2</v>
      </c>
      <c r="D18" s="544"/>
      <c r="E18" s="29"/>
      <c r="F18" s="168" t="s">
        <v>486</v>
      </c>
      <c r="G18" s="29" t="s">
        <v>472</v>
      </c>
      <c r="H18" s="553"/>
      <c r="I18" s="542"/>
      <c r="J18" s="125">
        <f t="shared" si="7"/>
        <v>6994.45</v>
      </c>
      <c r="K18" s="36">
        <f t="shared" si="0"/>
        <v>6994.45</v>
      </c>
      <c r="L18" s="28"/>
      <c r="M18" s="28"/>
      <c r="N18" s="36">
        <v>6994.45</v>
      </c>
      <c r="O18" s="126">
        <f t="shared" si="3"/>
        <v>7344.1724999999997</v>
      </c>
    </row>
    <row r="19" spans="2:15" s="19" customFormat="1" ht="20.100000000000001" customHeight="1" x14ac:dyDescent="0.25">
      <c r="B19" s="541"/>
      <c r="C19" s="299" t="s">
        <v>5</v>
      </c>
      <c r="D19" s="543" t="s">
        <v>134</v>
      </c>
      <c r="E19" s="555" t="s">
        <v>35</v>
      </c>
      <c r="F19" s="168" t="s">
        <v>268</v>
      </c>
      <c r="G19" s="29" t="s">
        <v>227</v>
      </c>
      <c r="H19" s="551">
        <v>5.0750000000000002</v>
      </c>
      <c r="I19" s="541" t="s">
        <v>31</v>
      </c>
      <c r="J19" s="125">
        <f t="shared" si="1"/>
        <v>1892.95</v>
      </c>
      <c r="K19" s="36">
        <f t="shared" si="0"/>
        <v>1892.95</v>
      </c>
      <c r="L19" s="28"/>
      <c r="M19" s="28"/>
      <c r="N19" s="163">
        <v>1892.95</v>
      </c>
      <c r="O19" s="36">
        <f>N19*1.05</f>
        <v>1987.5975000000001</v>
      </c>
    </row>
    <row r="20" spans="2:15" s="19" customFormat="1" ht="20.100000000000001" customHeight="1" x14ac:dyDescent="0.25">
      <c r="B20" s="554"/>
      <c r="C20" s="299" t="s">
        <v>5</v>
      </c>
      <c r="D20" s="550"/>
      <c r="E20" s="555"/>
      <c r="F20" s="168" t="s">
        <v>302</v>
      </c>
      <c r="G20" s="29" t="s">
        <v>132</v>
      </c>
      <c r="H20" s="552"/>
      <c r="I20" s="554"/>
      <c r="J20" s="125">
        <f t="shared" si="1"/>
        <v>2043.16</v>
      </c>
      <c r="K20" s="36">
        <f t="shared" si="0"/>
        <v>2043.16</v>
      </c>
      <c r="L20" s="28"/>
      <c r="M20" s="28"/>
      <c r="N20" s="164">
        <v>2043.16</v>
      </c>
      <c r="O20" s="36">
        <f>N20*1.05</f>
        <v>2145.3180000000002</v>
      </c>
    </row>
    <row r="21" spans="2:15" s="19" customFormat="1" ht="20.100000000000001" customHeight="1" x14ac:dyDescent="0.25">
      <c r="B21" s="554"/>
      <c r="C21" s="299" t="s">
        <v>5</v>
      </c>
      <c r="D21" s="550"/>
      <c r="E21" s="555" t="s">
        <v>36</v>
      </c>
      <c r="F21" s="168" t="s">
        <v>290</v>
      </c>
      <c r="G21" s="29" t="s">
        <v>228</v>
      </c>
      <c r="H21" s="552"/>
      <c r="I21" s="554"/>
      <c r="J21" s="125">
        <f t="shared" ref="J21" si="8">K21-K21*$K$3</f>
        <v>2251.71</v>
      </c>
      <c r="K21" s="36">
        <f t="shared" si="0"/>
        <v>2251.71</v>
      </c>
      <c r="L21" s="28"/>
      <c r="M21" s="28"/>
      <c r="N21" s="163">
        <v>2251.71</v>
      </c>
      <c r="O21" s="36">
        <f>N21*1.05</f>
        <v>2364.2955000000002</v>
      </c>
    </row>
    <row r="22" spans="2:15" s="19" customFormat="1" ht="20.100000000000001" customHeight="1" x14ac:dyDescent="0.25">
      <c r="B22" s="554"/>
      <c r="C22" s="299" t="s">
        <v>5</v>
      </c>
      <c r="D22" s="550"/>
      <c r="E22" s="555"/>
      <c r="F22" s="168" t="s">
        <v>275</v>
      </c>
      <c r="G22" s="29" t="s">
        <v>133</v>
      </c>
      <c r="H22" s="552"/>
      <c r="I22" s="554"/>
      <c r="J22" s="125">
        <f t="shared" si="1"/>
        <v>2251.71</v>
      </c>
      <c r="K22" s="36">
        <f t="shared" si="0"/>
        <v>2251.71</v>
      </c>
      <c r="L22" s="28"/>
      <c r="M22" s="28"/>
      <c r="N22" s="126">
        <v>2251.71</v>
      </c>
      <c r="O22" s="126">
        <f t="shared" ref="O22:O89" si="9">N22*1.05</f>
        <v>2364.2955000000002</v>
      </c>
    </row>
    <row r="23" spans="2:15" s="19" customFormat="1" ht="20.100000000000001" customHeight="1" x14ac:dyDescent="0.25">
      <c r="B23" s="554"/>
      <c r="C23" s="299" t="s">
        <v>5</v>
      </c>
      <c r="D23" s="550"/>
      <c r="E23" s="555"/>
      <c r="F23" s="168" t="s">
        <v>280</v>
      </c>
      <c r="G23" s="29" t="s">
        <v>33</v>
      </c>
      <c r="H23" s="552"/>
      <c r="I23" s="554"/>
      <c r="J23" s="125">
        <f t="shared" ref="J23:J26" si="10">K23-K23*$K$3</f>
        <v>2251.71</v>
      </c>
      <c r="K23" s="36">
        <f t="shared" si="0"/>
        <v>2251.71</v>
      </c>
      <c r="L23" s="28"/>
      <c r="M23" s="28"/>
      <c r="N23" s="126">
        <v>2251.71</v>
      </c>
      <c r="O23" s="126">
        <f t="shared" ref="O23:O31" si="11">N23*1.05</f>
        <v>2364.2955000000002</v>
      </c>
    </row>
    <row r="24" spans="2:15" s="19" customFormat="1" ht="20.100000000000001" customHeight="1" x14ac:dyDescent="0.25">
      <c r="B24" s="554"/>
      <c r="C24" s="299" t="s">
        <v>5</v>
      </c>
      <c r="D24" s="550"/>
      <c r="E24" s="555"/>
      <c r="F24" s="168" t="s">
        <v>285</v>
      </c>
      <c r="G24" s="29" t="s">
        <v>34</v>
      </c>
      <c r="H24" s="552"/>
      <c r="I24" s="554"/>
      <c r="J24" s="125">
        <f t="shared" si="10"/>
        <v>2251.71</v>
      </c>
      <c r="K24" s="36">
        <f t="shared" si="0"/>
        <v>2251.71</v>
      </c>
      <c r="L24" s="28"/>
      <c r="M24" s="28"/>
      <c r="N24" s="126">
        <v>2251.71</v>
      </c>
      <c r="O24" s="126">
        <f t="shared" si="11"/>
        <v>2364.2955000000002</v>
      </c>
    </row>
    <row r="25" spans="2:15" s="19" customFormat="1" ht="20.100000000000001" customHeight="1" x14ac:dyDescent="0.25">
      <c r="B25" s="554"/>
      <c r="C25" s="299" t="s">
        <v>5</v>
      </c>
      <c r="D25" s="550"/>
      <c r="E25" s="555"/>
      <c r="F25" s="168" t="s">
        <v>294</v>
      </c>
      <c r="G25" s="29" t="s">
        <v>229</v>
      </c>
      <c r="H25" s="552"/>
      <c r="I25" s="554"/>
      <c r="J25" s="125">
        <f t="shared" si="10"/>
        <v>2251.71</v>
      </c>
      <c r="K25" s="36">
        <f t="shared" si="0"/>
        <v>2251.71</v>
      </c>
      <c r="L25" s="28"/>
      <c r="M25" s="28"/>
      <c r="N25" s="126">
        <v>2251.71</v>
      </c>
      <c r="O25" s="126">
        <f t="shared" si="11"/>
        <v>2364.2955000000002</v>
      </c>
    </row>
    <row r="26" spans="2:15" s="19" customFormat="1" ht="20.100000000000001" customHeight="1" x14ac:dyDescent="0.25">
      <c r="B26" s="554"/>
      <c r="C26" s="299" t="s">
        <v>5</v>
      </c>
      <c r="D26" s="550"/>
      <c r="E26" s="555"/>
      <c r="F26" s="168" t="s">
        <v>297</v>
      </c>
      <c r="G26" s="29" t="s">
        <v>476</v>
      </c>
      <c r="H26" s="552"/>
      <c r="I26" s="554"/>
      <c r="J26" s="125">
        <f t="shared" si="10"/>
        <v>2251.71</v>
      </c>
      <c r="K26" s="36">
        <f t="shared" si="0"/>
        <v>2251.71</v>
      </c>
      <c r="L26" s="28"/>
      <c r="M26" s="28"/>
      <c r="N26" s="126">
        <v>2251.71</v>
      </c>
      <c r="O26" s="126">
        <f t="shared" si="11"/>
        <v>2364.2955000000002</v>
      </c>
    </row>
    <row r="27" spans="2:15" s="19" customFormat="1" ht="20.100000000000001" customHeight="1" x14ac:dyDescent="0.25">
      <c r="B27" s="554"/>
      <c r="C27" s="299" t="s">
        <v>5</v>
      </c>
      <c r="D27" s="550"/>
      <c r="E27" s="29"/>
      <c r="F27" s="168" t="s">
        <v>498</v>
      </c>
      <c r="G27" s="29" t="s">
        <v>474</v>
      </c>
      <c r="H27" s="552"/>
      <c r="I27" s="554"/>
      <c r="J27" s="125">
        <f t="shared" ref="J27:J31" si="12">K27-K27*$K$3</f>
        <v>2251.71</v>
      </c>
      <c r="K27" s="36">
        <f t="shared" si="0"/>
        <v>2251.71</v>
      </c>
      <c r="L27" s="28"/>
      <c r="M27" s="28"/>
      <c r="N27" s="126">
        <v>2251.71</v>
      </c>
      <c r="O27" s="126">
        <f t="shared" si="11"/>
        <v>2364.2955000000002</v>
      </c>
    </row>
    <row r="28" spans="2:15" s="19" customFormat="1" ht="20.100000000000001" customHeight="1" x14ac:dyDescent="0.25">
      <c r="B28" s="554"/>
      <c r="C28" s="299" t="s">
        <v>5</v>
      </c>
      <c r="D28" s="550"/>
      <c r="E28" s="29"/>
      <c r="F28" s="168" t="s">
        <v>479</v>
      </c>
      <c r="G28" s="29" t="s">
        <v>471</v>
      </c>
      <c r="H28" s="552"/>
      <c r="I28" s="554"/>
      <c r="J28" s="125">
        <f t="shared" si="12"/>
        <v>2251.71</v>
      </c>
      <c r="K28" s="36">
        <f t="shared" si="0"/>
        <v>2251.71</v>
      </c>
      <c r="L28" s="28"/>
      <c r="M28" s="28"/>
      <c r="N28" s="126">
        <v>2251.71</v>
      </c>
      <c r="O28" s="126">
        <f t="shared" si="11"/>
        <v>2364.2955000000002</v>
      </c>
    </row>
    <row r="29" spans="2:15" s="19" customFormat="1" ht="20.100000000000001" customHeight="1" x14ac:dyDescent="0.25">
      <c r="B29" s="554"/>
      <c r="C29" s="299" t="s">
        <v>5</v>
      </c>
      <c r="D29" s="550"/>
      <c r="E29" s="29"/>
      <c r="F29" s="168" t="s">
        <v>493</v>
      </c>
      <c r="G29" s="29" t="s">
        <v>475</v>
      </c>
      <c r="H29" s="552"/>
      <c r="I29" s="554"/>
      <c r="J29" s="125">
        <f t="shared" si="12"/>
        <v>2251.71</v>
      </c>
      <c r="K29" s="36">
        <f t="shared" si="0"/>
        <v>2251.71</v>
      </c>
      <c r="L29" s="28"/>
      <c r="M29" s="28"/>
      <c r="N29" s="126">
        <v>2251.71</v>
      </c>
      <c r="O29" s="126">
        <f t="shared" si="11"/>
        <v>2364.2955000000002</v>
      </c>
    </row>
    <row r="30" spans="2:15" s="19" customFormat="1" ht="20.100000000000001" customHeight="1" x14ac:dyDescent="0.25">
      <c r="B30" s="554"/>
      <c r="C30" s="299" t="s">
        <v>5</v>
      </c>
      <c r="D30" s="550"/>
      <c r="E30" s="29"/>
      <c r="F30" s="168" t="s">
        <v>489</v>
      </c>
      <c r="G30" s="29" t="s">
        <v>473</v>
      </c>
      <c r="H30" s="552"/>
      <c r="I30" s="554"/>
      <c r="J30" s="125">
        <f t="shared" si="12"/>
        <v>2251.71</v>
      </c>
      <c r="K30" s="36">
        <f t="shared" si="0"/>
        <v>2251.71</v>
      </c>
      <c r="L30" s="28"/>
      <c r="M30" s="28"/>
      <c r="N30" s="126">
        <v>2251.71</v>
      </c>
      <c r="O30" s="126">
        <f t="shared" si="11"/>
        <v>2364.2955000000002</v>
      </c>
    </row>
    <row r="31" spans="2:15" s="19" customFormat="1" ht="20.100000000000001" customHeight="1" x14ac:dyDescent="0.25">
      <c r="B31" s="542"/>
      <c r="C31" s="299" t="s">
        <v>5</v>
      </c>
      <c r="D31" s="544"/>
      <c r="E31" s="29"/>
      <c r="F31" s="168" t="s">
        <v>485</v>
      </c>
      <c r="G31" s="29" t="s">
        <v>472</v>
      </c>
      <c r="H31" s="553"/>
      <c r="I31" s="542"/>
      <c r="J31" s="125">
        <f t="shared" si="12"/>
        <v>2251.71</v>
      </c>
      <c r="K31" s="36">
        <f t="shared" si="0"/>
        <v>2251.71</v>
      </c>
      <c r="L31" s="28"/>
      <c r="M31" s="28"/>
      <c r="N31" s="126">
        <v>2251.71</v>
      </c>
      <c r="O31" s="126">
        <f t="shared" si="11"/>
        <v>2364.2955000000002</v>
      </c>
    </row>
    <row r="32" spans="2:15" s="19" customFormat="1" ht="20.100000000000001" customHeight="1" x14ac:dyDescent="0.25">
      <c r="B32" s="546"/>
      <c r="C32" s="123" t="s">
        <v>4</v>
      </c>
      <c r="D32" s="556" t="s">
        <v>135</v>
      </c>
      <c r="E32" s="555" t="s">
        <v>30</v>
      </c>
      <c r="F32" s="168" t="s">
        <v>269</v>
      </c>
      <c r="G32" s="29" t="s">
        <v>227</v>
      </c>
      <c r="H32" s="545">
        <v>5</v>
      </c>
      <c r="I32" s="546" t="s">
        <v>31</v>
      </c>
      <c r="J32" s="125">
        <f t="shared" si="1"/>
        <v>5816.07</v>
      </c>
      <c r="K32" s="36">
        <f t="shared" si="0"/>
        <v>5816.07</v>
      </c>
      <c r="L32" s="28"/>
      <c r="M32" s="28"/>
      <c r="N32" s="163">
        <v>5816.07</v>
      </c>
      <c r="O32" s="36">
        <f t="shared" si="9"/>
        <v>6106.8734999999997</v>
      </c>
    </row>
    <row r="33" spans="2:15" s="19" customFormat="1" ht="20.100000000000001" customHeight="1" x14ac:dyDescent="0.25">
      <c r="B33" s="546"/>
      <c r="C33" s="123" t="s">
        <v>4</v>
      </c>
      <c r="D33" s="556"/>
      <c r="E33" s="555"/>
      <c r="F33" s="168" t="s">
        <v>416</v>
      </c>
      <c r="G33" s="29" t="s">
        <v>132</v>
      </c>
      <c r="H33" s="545"/>
      <c r="I33" s="546"/>
      <c r="J33" s="125">
        <f t="shared" si="1"/>
        <v>6096.53</v>
      </c>
      <c r="K33" s="36">
        <f t="shared" si="0"/>
        <v>6096.53</v>
      </c>
      <c r="L33" s="28"/>
      <c r="M33" s="28"/>
      <c r="N33" s="163">
        <v>6096.53</v>
      </c>
      <c r="O33" s="36">
        <f t="shared" si="9"/>
        <v>6401.3564999999999</v>
      </c>
    </row>
    <row r="34" spans="2:15" s="19" customFormat="1" ht="20.100000000000001" customHeight="1" x14ac:dyDescent="0.25">
      <c r="B34" s="541"/>
      <c r="C34" s="123" t="s">
        <v>528</v>
      </c>
      <c r="D34" s="543" t="s">
        <v>529</v>
      </c>
      <c r="E34" s="29"/>
      <c r="F34" s="168" t="s">
        <v>530</v>
      </c>
      <c r="G34" s="29" t="s">
        <v>227</v>
      </c>
      <c r="H34" s="545">
        <v>5</v>
      </c>
      <c r="I34" s="546" t="s">
        <v>31</v>
      </c>
      <c r="J34" s="125">
        <f t="shared" si="1"/>
        <v>992.25</v>
      </c>
      <c r="K34" s="36">
        <f t="shared" si="0"/>
        <v>992.25</v>
      </c>
      <c r="L34" s="28"/>
      <c r="M34" s="28"/>
      <c r="N34" s="163">
        <v>992.25</v>
      </c>
      <c r="O34" s="36">
        <f t="shared" si="9"/>
        <v>1041.8625</v>
      </c>
    </row>
    <row r="35" spans="2:15" s="19" customFormat="1" ht="20.100000000000001" customHeight="1" x14ac:dyDescent="0.25">
      <c r="B35" s="542"/>
      <c r="C35" s="123" t="s">
        <v>528</v>
      </c>
      <c r="D35" s="544"/>
      <c r="E35" s="29"/>
      <c r="F35" s="168" t="s">
        <v>531</v>
      </c>
      <c r="G35" s="29" t="s">
        <v>132</v>
      </c>
      <c r="H35" s="545"/>
      <c r="I35" s="546"/>
      <c r="J35" s="125">
        <f t="shared" ref="J35" si="13">K35-K35*$K$3</f>
        <v>909.56</v>
      </c>
      <c r="K35" s="36">
        <f t="shared" ref="K35" si="14">IF($K$2=$N$2,N35,O35)</f>
        <v>909.56</v>
      </c>
      <c r="L35" s="28"/>
      <c r="M35" s="28"/>
      <c r="N35" s="163">
        <v>909.56</v>
      </c>
      <c r="O35" s="36">
        <f t="shared" si="9"/>
        <v>955.03800000000001</v>
      </c>
    </row>
    <row r="36" spans="2:15" s="19" customFormat="1" ht="20.100000000000001" customHeight="1" x14ac:dyDescent="0.25">
      <c r="B36" s="546"/>
      <c r="C36" s="123" t="s">
        <v>17</v>
      </c>
      <c r="D36" s="556" t="s">
        <v>325</v>
      </c>
      <c r="E36" s="555" t="s">
        <v>30</v>
      </c>
      <c r="F36" s="168" t="s">
        <v>271</v>
      </c>
      <c r="G36" s="29" t="s">
        <v>227</v>
      </c>
      <c r="H36" s="545">
        <v>5.4</v>
      </c>
      <c r="I36" s="546" t="s">
        <v>31</v>
      </c>
      <c r="J36" s="125">
        <f t="shared" si="1"/>
        <v>1331.09</v>
      </c>
      <c r="K36" s="36">
        <f t="shared" si="0"/>
        <v>1331.09</v>
      </c>
      <c r="L36" s="28"/>
      <c r="M36" s="28"/>
      <c r="N36" s="163">
        <v>1331.09</v>
      </c>
      <c r="O36" s="36">
        <f t="shared" si="9"/>
        <v>1397.6444999999999</v>
      </c>
    </row>
    <row r="37" spans="2:15" s="19" customFormat="1" ht="20.100000000000001" customHeight="1" x14ac:dyDescent="0.25">
      <c r="B37" s="546"/>
      <c r="C37" s="123" t="s">
        <v>17</v>
      </c>
      <c r="D37" s="556"/>
      <c r="E37" s="555"/>
      <c r="F37" s="168" t="s">
        <v>304</v>
      </c>
      <c r="G37" s="29" t="s">
        <v>132</v>
      </c>
      <c r="H37" s="545"/>
      <c r="I37" s="546"/>
      <c r="J37" s="125">
        <f t="shared" si="1"/>
        <v>1440.37</v>
      </c>
      <c r="K37" s="36">
        <f t="shared" si="0"/>
        <v>1440.37</v>
      </c>
      <c r="L37" s="28"/>
      <c r="M37" s="28"/>
      <c r="N37" s="163">
        <v>1440.37</v>
      </c>
      <c r="O37" s="36">
        <f t="shared" si="9"/>
        <v>1512.3885</v>
      </c>
    </row>
    <row r="38" spans="2:15" s="19" customFormat="1" ht="20.100000000000001" customHeight="1" x14ac:dyDescent="0.25">
      <c r="B38" s="546"/>
      <c r="C38" s="123" t="s">
        <v>17</v>
      </c>
      <c r="D38" s="556"/>
      <c r="E38" s="555"/>
      <c r="F38" s="168" t="s">
        <v>277</v>
      </c>
      <c r="G38" s="29" t="s">
        <v>133</v>
      </c>
      <c r="H38" s="545"/>
      <c r="I38" s="546"/>
      <c r="J38" s="125">
        <f t="shared" si="1"/>
        <v>1515.05</v>
      </c>
      <c r="K38" s="36">
        <f t="shared" si="0"/>
        <v>1515.05</v>
      </c>
      <c r="L38" s="28"/>
      <c r="M38" s="28"/>
      <c r="N38" s="164">
        <v>1515.05</v>
      </c>
      <c r="O38" s="36">
        <f t="shared" si="9"/>
        <v>1590.8025</v>
      </c>
    </row>
    <row r="39" spans="2:15" s="19" customFormat="1" ht="20.100000000000001" customHeight="1" x14ac:dyDescent="0.25">
      <c r="B39" s="546"/>
      <c r="C39" s="123" t="s">
        <v>3</v>
      </c>
      <c r="D39" s="556" t="s">
        <v>37</v>
      </c>
      <c r="E39" s="555" t="s">
        <v>30</v>
      </c>
      <c r="F39" s="168" t="s">
        <v>273</v>
      </c>
      <c r="G39" s="29" t="s">
        <v>227</v>
      </c>
      <c r="H39" s="545">
        <v>5</v>
      </c>
      <c r="I39" s="546" t="s">
        <v>31</v>
      </c>
      <c r="J39" s="125">
        <f t="shared" si="1"/>
        <v>3267.15</v>
      </c>
      <c r="K39" s="36">
        <f t="shared" si="0"/>
        <v>3267.15</v>
      </c>
      <c r="L39" s="28"/>
      <c r="M39" s="28"/>
      <c r="N39" s="163">
        <v>3267.15</v>
      </c>
      <c r="O39" s="36">
        <f t="shared" si="9"/>
        <v>3430.5075000000002</v>
      </c>
    </row>
    <row r="40" spans="2:15" s="19" customFormat="1" ht="20.100000000000001" customHeight="1" x14ac:dyDescent="0.25">
      <c r="B40" s="546"/>
      <c r="C40" s="123" t="s">
        <v>3</v>
      </c>
      <c r="D40" s="556"/>
      <c r="E40" s="555"/>
      <c r="F40" s="168" t="s">
        <v>306</v>
      </c>
      <c r="G40" s="29" t="s">
        <v>132</v>
      </c>
      <c r="H40" s="545"/>
      <c r="I40" s="546"/>
      <c r="J40" s="125">
        <f t="shared" si="1"/>
        <v>3524.86</v>
      </c>
      <c r="K40" s="36">
        <f t="shared" ref="K40:K71" si="15">IF($K$2=$N$2,N40,O40)</f>
        <v>3524.86</v>
      </c>
      <c r="L40" s="28"/>
      <c r="M40" s="28"/>
      <c r="N40" s="163">
        <v>3524.86</v>
      </c>
      <c r="O40" s="36">
        <f t="shared" si="9"/>
        <v>3701.1030000000001</v>
      </c>
    </row>
    <row r="41" spans="2:15" s="19" customFormat="1" ht="20.100000000000001" customHeight="1" x14ac:dyDescent="0.25">
      <c r="B41" s="546"/>
      <c r="C41" s="123" t="s">
        <v>3</v>
      </c>
      <c r="D41" s="556"/>
      <c r="E41" s="555" t="s">
        <v>32</v>
      </c>
      <c r="F41" s="168" t="s">
        <v>292</v>
      </c>
      <c r="G41" s="29" t="s">
        <v>228</v>
      </c>
      <c r="H41" s="545"/>
      <c r="I41" s="546"/>
      <c r="J41" s="125">
        <f t="shared" si="1"/>
        <v>4500.87</v>
      </c>
      <c r="K41" s="36">
        <f t="shared" si="15"/>
        <v>4500.87</v>
      </c>
      <c r="L41" s="28"/>
      <c r="M41" s="28"/>
      <c r="N41" s="164">
        <v>4500.87</v>
      </c>
      <c r="O41" s="36">
        <f t="shared" si="9"/>
        <v>4725.9134999999997</v>
      </c>
    </row>
    <row r="42" spans="2:15" s="19" customFormat="1" ht="20.100000000000001" customHeight="1" x14ac:dyDescent="0.25">
      <c r="B42" s="546"/>
      <c r="C42" s="123" t="s">
        <v>3</v>
      </c>
      <c r="D42" s="556"/>
      <c r="E42" s="555"/>
      <c r="F42" s="168" t="s">
        <v>484</v>
      </c>
      <c r="G42" s="29" t="s">
        <v>133</v>
      </c>
      <c r="H42" s="545"/>
      <c r="I42" s="546"/>
      <c r="J42" s="125">
        <f t="shared" si="1"/>
        <v>4500.87</v>
      </c>
      <c r="K42" s="36">
        <f t="shared" si="15"/>
        <v>4500.87</v>
      </c>
      <c r="L42" s="28"/>
      <c r="M42" s="28"/>
      <c r="N42" s="126">
        <v>4500.87</v>
      </c>
      <c r="O42" s="126">
        <f t="shared" si="9"/>
        <v>4725.9134999999997</v>
      </c>
    </row>
    <row r="43" spans="2:15" s="19" customFormat="1" ht="20.100000000000001" customHeight="1" x14ac:dyDescent="0.25">
      <c r="B43" s="546"/>
      <c r="C43" s="123" t="s">
        <v>3</v>
      </c>
      <c r="D43" s="556"/>
      <c r="E43" s="555"/>
      <c r="F43" s="168" t="s">
        <v>283</v>
      </c>
      <c r="G43" s="29" t="s">
        <v>33</v>
      </c>
      <c r="H43" s="545"/>
      <c r="I43" s="546"/>
      <c r="J43" s="125">
        <f t="shared" ref="J43:J45" si="16">K43-K43*$K$3</f>
        <v>4500.87</v>
      </c>
      <c r="K43" s="36">
        <f t="shared" si="15"/>
        <v>4500.87</v>
      </c>
      <c r="L43" s="28"/>
      <c r="M43" s="28"/>
      <c r="N43" s="126">
        <v>4500.87</v>
      </c>
      <c r="O43" s="126">
        <f t="shared" ref="O43:O45" si="17">N43*1.05</f>
        <v>4725.9134999999997</v>
      </c>
    </row>
    <row r="44" spans="2:15" s="19" customFormat="1" ht="20.100000000000001" customHeight="1" x14ac:dyDescent="0.25">
      <c r="B44" s="546"/>
      <c r="C44" s="123" t="s">
        <v>3</v>
      </c>
      <c r="D44" s="556"/>
      <c r="E44" s="555"/>
      <c r="F44" s="168" t="s">
        <v>288</v>
      </c>
      <c r="G44" s="29" t="s">
        <v>34</v>
      </c>
      <c r="H44" s="545"/>
      <c r="I44" s="546"/>
      <c r="J44" s="125">
        <f t="shared" si="16"/>
        <v>4500.87</v>
      </c>
      <c r="K44" s="36">
        <f t="shared" si="15"/>
        <v>4500.87</v>
      </c>
      <c r="L44" s="28"/>
      <c r="M44" s="28"/>
      <c r="N44" s="126">
        <v>4500.87</v>
      </c>
      <c r="O44" s="126">
        <f t="shared" si="17"/>
        <v>4725.9134999999997</v>
      </c>
    </row>
    <row r="45" spans="2:15" s="19" customFormat="1" ht="20.100000000000001" customHeight="1" x14ac:dyDescent="0.25">
      <c r="B45" s="546"/>
      <c r="C45" s="123" t="s">
        <v>3</v>
      </c>
      <c r="D45" s="556"/>
      <c r="E45" s="555"/>
      <c r="F45" s="168" t="s">
        <v>477</v>
      </c>
      <c r="G45" s="29" t="s">
        <v>229</v>
      </c>
      <c r="H45" s="545"/>
      <c r="I45" s="546"/>
      <c r="J45" s="125">
        <f t="shared" si="16"/>
        <v>4500.87</v>
      </c>
      <c r="K45" s="36">
        <f t="shared" si="15"/>
        <v>4500.87</v>
      </c>
      <c r="L45" s="28"/>
      <c r="M45" s="28"/>
      <c r="N45" s="126">
        <v>4500.87</v>
      </c>
      <c r="O45" s="126">
        <f t="shared" si="17"/>
        <v>4725.9134999999997</v>
      </c>
    </row>
    <row r="46" spans="2:15" s="19" customFormat="1" ht="20.100000000000001" customHeight="1" x14ac:dyDescent="0.25">
      <c r="B46" s="546"/>
      <c r="C46" s="123" t="s">
        <v>3</v>
      </c>
      <c r="D46" s="556"/>
      <c r="E46" s="555"/>
      <c r="F46" s="168" t="s">
        <v>300</v>
      </c>
      <c r="G46" s="29" t="s">
        <v>476</v>
      </c>
      <c r="H46" s="545"/>
      <c r="I46" s="546"/>
      <c r="J46" s="125">
        <f>K46-K46*$K$3</f>
        <v>4500.87</v>
      </c>
      <c r="K46" s="36">
        <f t="shared" si="15"/>
        <v>4500.87</v>
      </c>
      <c r="L46" s="28"/>
      <c r="M46" s="28"/>
      <c r="N46" s="126">
        <v>4500.87</v>
      </c>
      <c r="O46" s="126">
        <f>N46*1.05</f>
        <v>4725.9134999999997</v>
      </c>
    </row>
    <row r="47" spans="2:15" s="19" customFormat="1" ht="20.100000000000001" customHeight="1" x14ac:dyDescent="0.25">
      <c r="B47" s="546"/>
      <c r="C47" s="123" t="s">
        <v>3</v>
      </c>
      <c r="D47" s="556"/>
      <c r="E47" s="555"/>
      <c r="F47" s="168" t="s">
        <v>500</v>
      </c>
      <c r="G47" s="29" t="s">
        <v>474</v>
      </c>
      <c r="H47" s="545"/>
      <c r="I47" s="546"/>
      <c r="J47" s="125">
        <f t="shared" ref="J47:J51" si="18">K47-K47*$K$3</f>
        <v>4500.87</v>
      </c>
      <c r="K47" s="36">
        <f t="shared" si="15"/>
        <v>4500.87</v>
      </c>
      <c r="L47" s="28"/>
      <c r="M47" s="28"/>
      <c r="N47" s="126">
        <v>4500.87</v>
      </c>
      <c r="O47" s="126">
        <f t="shared" ref="O47:O51" si="19">N47*1.05</f>
        <v>4725.9134999999997</v>
      </c>
    </row>
    <row r="48" spans="2:15" s="19" customFormat="1" ht="20.100000000000001" customHeight="1" x14ac:dyDescent="0.25">
      <c r="B48" s="546"/>
      <c r="C48" s="123" t="s">
        <v>3</v>
      </c>
      <c r="D48" s="556"/>
      <c r="E48" s="555"/>
      <c r="F48" s="168" t="s">
        <v>482</v>
      </c>
      <c r="G48" s="29" t="s">
        <v>471</v>
      </c>
      <c r="H48" s="545"/>
      <c r="I48" s="546"/>
      <c r="J48" s="125">
        <f t="shared" si="18"/>
        <v>4500.87</v>
      </c>
      <c r="K48" s="36">
        <f t="shared" si="15"/>
        <v>4500.87</v>
      </c>
      <c r="L48" s="28"/>
      <c r="M48" s="28"/>
      <c r="N48" s="126">
        <v>4500.87</v>
      </c>
      <c r="O48" s="126">
        <f t="shared" si="19"/>
        <v>4725.9134999999997</v>
      </c>
    </row>
    <row r="49" spans="2:15" s="19" customFormat="1" ht="20.100000000000001" customHeight="1" x14ac:dyDescent="0.25">
      <c r="B49" s="546"/>
      <c r="C49" s="123" t="s">
        <v>3</v>
      </c>
      <c r="D49" s="556"/>
      <c r="E49" s="555"/>
      <c r="F49" s="168" t="s">
        <v>496</v>
      </c>
      <c r="G49" s="29" t="s">
        <v>475</v>
      </c>
      <c r="H49" s="545"/>
      <c r="I49" s="546"/>
      <c r="J49" s="125">
        <f t="shared" si="18"/>
        <v>4500.87</v>
      </c>
      <c r="K49" s="36">
        <f t="shared" si="15"/>
        <v>4500.87</v>
      </c>
      <c r="L49" s="28"/>
      <c r="M49" s="28"/>
      <c r="N49" s="126">
        <v>4500.87</v>
      </c>
      <c r="O49" s="126">
        <f t="shared" si="19"/>
        <v>4725.9134999999997</v>
      </c>
    </row>
    <row r="50" spans="2:15" s="19" customFormat="1" ht="20.100000000000001" customHeight="1" x14ac:dyDescent="0.25">
      <c r="B50" s="546"/>
      <c r="C50" s="123" t="s">
        <v>3</v>
      </c>
      <c r="D50" s="556"/>
      <c r="E50" s="555"/>
      <c r="F50" s="168" t="s">
        <v>491</v>
      </c>
      <c r="G50" s="29" t="s">
        <v>473</v>
      </c>
      <c r="H50" s="545"/>
      <c r="I50" s="546"/>
      <c r="J50" s="125">
        <f t="shared" si="18"/>
        <v>4500.87</v>
      </c>
      <c r="K50" s="36">
        <f t="shared" si="15"/>
        <v>4500.87</v>
      </c>
      <c r="L50" s="28"/>
      <c r="M50" s="28"/>
      <c r="N50" s="126">
        <v>4500.87</v>
      </c>
      <c r="O50" s="126">
        <f t="shared" si="19"/>
        <v>4725.9134999999997</v>
      </c>
    </row>
    <row r="51" spans="2:15" s="19" customFormat="1" ht="20.100000000000001" customHeight="1" x14ac:dyDescent="0.25">
      <c r="B51" s="546"/>
      <c r="C51" s="123" t="s">
        <v>3</v>
      </c>
      <c r="D51" s="556"/>
      <c r="E51" s="555"/>
      <c r="F51" s="303" t="s">
        <v>487</v>
      </c>
      <c r="G51" s="29" t="s">
        <v>472</v>
      </c>
      <c r="H51" s="545"/>
      <c r="I51" s="546"/>
      <c r="J51" s="125">
        <f t="shared" si="18"/>
        <v>4500.87</v>
      </c>
      <c r="K51" s="36">
        <f t="shared" si="15"/>
        <v>4500.87</v>
      </c>
      <c r="L51" s="28"/>
      <c r="M51" s="28"/>
      <c r="N51" s="303">
        <v>4500.87</v>
      </c>
      <c r="O51" s="126">
        <f t="shared" si="19"/>
        <v>4725.9134999999997</v>
      </c>
    </row>
    <row r="52" spans="2:15" s="19" customFormat="1" ht="20.100000000000001" customHeight="1" x14ac:dyDescent="0.25">
      <c r="B52" s="546"/>
      <c r="C52" s="123" t="s">
        <v>452</v>
      </c>
      <c r="D52" s="556" t="s">
        <v>239</v>
      </c>
      <c r="E52" s="555" t="s">
        <v>30</v>
      </c>
      <c r="F52" s="168" t="s">
        <v>274</v>
      </c>
      <c r="G52" s="29" t="s">
        <v>227</v>
      </c>
      <c r="H52" s="545">
        <v>5</v>
      </c>
      <c r="I52" s="546" t="s">
        <v>31</v>
      </c>
      <c r="J52" s="125">
        <f t="shared" si="1"/>
        <v>3828.23</v>
      </c>
      <c r="K52" s="36">
        <f t="shared" si="15"/>
        <v>3828.23</v>
      </c>
      <c r="L52" s="28"/>
      <c r="M52" s="28"/>
      <c r="N52" s="163">
        <v>3828.23</v>
      </c>
      <c r="O52" s="36">
        <f t="shared" si="9"/>
        <v>4019.6415000000002</v>
      </c>
    </row>
    <row r="53" spans="2:15" s="19" customFormat="1" ht="20.100000000000001" customHeight="1" x14ac:dyDescent="0.25">
      <c r="B53" s="546"/>
      <c r="C53" s="123" t="s">
        <v>452</v>
      </c>
      <c r="D53" s="556"/>
      <c r="E53" s="555"/>
      <c r="F53" s="168" t="s">
        <v>307</v>
      </c>
      <c r="G53" s="29" t="s">
        <v>132</v>
      </c>
      <c r="H53" s="545"/>
      <c r="I53" s="546"/>
      <c r="J53" s="125">
        <f t="shared" si="1"/>
        <v>4119.82</v>
      </c>
      <c r="K53" s="36">
        <f t="shared" si="15"/>
        <v>4119.82</v>
      </c>
      <c r="L53" s="28"/>
      <c r="M53" s="28"/>
      <c r="N53" s="163">
        <v>4119.82</v>
      </c>
      <c r="O53" s="36">
        <f t="shared" si="9"/>
        <v>4325.8109999999997</v>
      </c>
    </row>
    <row r="54" spans="2:15" s="19" customFormat="1" ht="20.100000000000001" customHeight="1" x14ac:dyDescent="0.25">
      <c r="B54" s="546"/>
      <c r="C54" s="123" t="s">
        <v>452</v>
      </c>
      <c r="D54" s="556"/>
      <c r="E54" s="555" t="s">
        <v>32</v>
      </c>
      <c r="F54" s="168" t="s">
        <v>293</v>
      </c>
      <c r="G54" s="29" t="s">
        <v>228</v>
      </c>
      <c r="H54" s="545"/>
      <c r="I54" s="546"/>
      <c r="J54" s="125">
        <f t="shared" ref="J54" si="20">K54-K54*$K$3</f>
        <v>5512.44</v>
      </c>
      <c r="K54" s="36">
        <f t="shared" si="15"/>
        <v>5512.44</v>
      </c>
      <c r="L54" s="28"/>
      <c r="M54" s="28"/>
      <c r="N54" s="164">
        <v>5512.44</v>
      </c>
      <c r="O54" s="36">
        <f t="shared" si="9"/>
        <v>5788.0619999999999</v>
      </c>
    </row>
    <row r="55" spans="2:15" s="19" customFormat="1" ht="20.100000000000001" customHeight="1" x14ac:dyDescent="0.25">
      <c r="B55" s="546"/>
      <c r="C55" s="123" t="s">
        <v>452</v>
      </c>
      <c r="D55" s="556"/>
      <c r="E55" s="555"/>
      <c r="F55" s="168" t="s">
        <v>279</v>
      </c>
      <c r="G55" s="29" t="s">
        <v>133</v>
      </c>
      <c r="H55" s="545"/>
      <c r="I55" s="546"/>
      <c r="J55" s="125">
        <f t="shared" si="1"/>
        <v>5512.44</v>
      </c>
      <c r="K55" s="36">
        <f t="shared" si="15"/>
        <v>5512.44</v>
      </c>
      <c r="L55" s="28"/>
      <c r="M55" s="28"/>
      <c r="N55" s="126">
        <v>5512.44</v>
      </c>
      <c r="O55" s="126">
        <f t="shared" si="9"/>
        <v>5788.0619999999999</v>
      </c>
    </row>
    <row r="56" spans="2:15" s="19" customFormat="1" ht="20.100000000000001" customHeight="1" x14ac:dyDescent="0.25">
      <c r="B56" s="546"/>
      <c r="C56" s="123" t="s">
        <v>452</v>
      </c>
      <c r="D56" s="556"/>
      <c r="E56" s="555"/>
      <c r="F56" s="168" t="s">
        <v>284</v>
      </c>
      <c r="G56" s="29" t="s">
        <v>33</v>
      </c>
      <c r="H56" s="545"/>
      <c r="I56" s="546"/>
      <c r="J56" s="125">
        <f t="shared" ref="J56:J58" si="21">K56-K56*$K$3</f>
        <v>5512.44</v>
      </c>
      <c r="K56" s="36">
        <f t="shared" si="15"/>
        <v>5512.44</v>
      </c>
      <c r="L56" s="28"/>
      <c r="M56" s="28"/>
      <c r="N56" s="126">
        <v>5512.44</v>
      </c>
      <c r="O56" s="126">
        <f t="shared" ref="O56:O58" si="22">N56*1.05</f>
        <v>5788.0619999999999</v>
      </c>
    </row>
    <row r="57" spans="2:15" s="19" customFormat="1" ht="20.100000000000001" customHeight="1" x14ac:dyDescent="0.25">
      <c r="B57" s="546"/>
      <c r="C57" s="123" t="s">
        <v>452</v>
      </c>
      <c r="D57" s="556"/>
      <c r="E57" s="555"/>
      <c r="F57" s="168" t="s">
        <v>289</v>
      </c>
      <c r="G57" s="29" t="s">
        <v>34</v>
      </c>
      <c r="H57" s="545"/>
      <c r="I57" s="546"/>
      <c r="J57" s="125">
        <f t="shared" si="21"/>
        <v>5512.44</v>
      </c>
      <c r="K57" s="36">
        <f t="shared" si="15"/>
        <v>5512.44</v>
      </c>
      <c r="L57" s="28"/>
      <c r="M57" s="28"/>
      <c r="N57" s="126">
        <v>5512.44</v>
      </c>
      <c r="O57" s="126">
        <f t="shared" si="22"/>
        <v>5788.0619999999999</v>
      </c>
    </row>
    <row r="58" spans="2:15" s="19" customFormat="1" ht="20.100000000000001" customHeight="1" x14ac:dyDescent="0.25">
      <c r="B58" s="546"/>
      <c r="C58" s="123" t="s">
        <v>452</v>
      </c>
      <c r="D58" s="556"/>
      <c r="E58" s="555"/>
      <c r="F58" s="168" t="s">
        <v>478</v>
      </c>
      <c r="G58" s="29" t="s">
        <v>229</v>
      </c>
      <c r="H58" s="545"/>
      <c r="I58" s="546"/>
      <c r="J58" s="125">
        <f t="shared" si="21"/>
        <v>5512.44</v>
      </c>
      <c r="K58" s="36">
        <f t="shared" si="15"/>
        <v>5512.44</v>
      </c>
      <c r="L58" s="28"/>
      <c r="M58" s="28"/>
      <c r="N58" s="126">
        <v>5512.44</v>
      </c>
      <c r="O58" s="126">
        <f t="shared" si="22"/>
        <v>5788.0619999999999</v>
      </c>
    </row>
    <row r="59" spans="2:15" s="19" customFormat="1" ht="20.100000000000001" customHeight="1" x14ac:dyDescent="0.25">
      <c r="B59" s="546"/>
      <c r="C59" s="123" t="s">
        <v>452</v>
      </c>
      <c r="D59" s="556"/>
      <c r="E59" s="555"/>
      <c r="F59" s="168" t="s">
        <v>301</v>
      </c>
      <c r="G59" s="29" t="s">
        <v>476</v>
      </c>
      <c r="H59" s="545"/>
      <c r="I59" s="546"/>
      <c r="J59" s="125">
        <f>K59-K59*$K$3</f>
        <v>5512.44</v>
      </c>
      <c r="K59" s="36">
        <f t="shared" si="15"/>
        <v>5512.44</v>
      </c>
      <c r="L59" s="28"/>
      <c r="M59" s="28"/>
      <c r="N59" s="126">
        <v>5512.44</v>
      </c>
      <c r="O59" s="126">
        <f>N59*1.05</f>
        <v>5788.0619999999999</v>
      </c>
    </row>
    <row r="60" spans="2:15" s="19" customFormat="1" ht="20.100000000000001" customHeight="1" x14ac:dyDescent="0.25">
      <c r="B60" s="546"/>
      <c r="C60" s="123" t="s">
        <v>452</v>
      </c>
      <c r="D60" s="556"/>
      <c r="E60" s="555"/>
      <c r="F60" s="168" t="s">
        <v>501</v>
      </c>
      <c r="G60" s="29" t="s">
        <v>474</v>
      </c>
      <c r="H60" s="545"/>
      <c r="I60" s="546"/>
      <c r="J60" s="125">
        <f t="shared" ref="J60:J64" si="23">K60-K60*$K$3</f>
        <v>5512.44</v>
      </c>
      <c r="K60" s="36">
        <f t="shared" si="15"/>
        <v>5512.44</v>
      </c>
      <c r="L60" s="28"/>
      <c r="M60" s="28"/>
      <c r="N60" s="126">
        <v>5512.44</v>
      </c>
      <c r="O60" s="126">
        <f t="shared" ref="O60:O64" si="24">N60*1.05</f>
        <v>5788.0619999999999</v>
      </c>
    </row>
    <row r="61" spans="2:15" s="19" customFormat="1" ht="20.100000000000001" customHeight="1" x14ac:dyDescent="0.25">
      <c r="B61" s="546"/>
      <c r="C61" s="123" t="s">
        <v>452</v>
      </c>
      <c r="D61" s="556"/>
      <c r="E61" s="555"/>
      <c r="F61" s="168" t="s">
        <v>483</v>
      </c>
      <c r="G61" s="29" t="s">
        <v>471</v>
      </c>
      <c r="H61" s="545"/>
      <c r="I61" s="546"/>
      <c r="J61" s="125">
        <f t="shared" si="23"/>
        <v>5512.44</v>
      </c>
      <c r="K61" s="36">
        <f t="shared" si="15"/>
        <v>5512.44</v>
      </c>
      <c r="L61" s="28"/>
      <c r="M61" s="28"/>
      <c r="N61" s="126">
        <v>5512.44</v>
      </c>
      <c r="O61" s="126">
        <f t="shared" si="24"/>
        <v>5788.0619999999999</v>
      </c>
    </row>
    <row r="62" spans="2:15" s="19" customFormat="1" ht="20.100000000000001" customHeight="1" x14ac:dyDescent="0.25">
      <c r="B62" s="546"/>
      <c r="C62" s="123" t="s">
        <v>452</v>
      </c>
      <c r="D62" s="556"/>
      <c r="E62" s="555"/>
      <c r="F62" s="168" t="s">
        <v>497</v>
      </c>
      <c r="G62" s="29" t="s">
        <v>475</v>
      </c>
      <c r="H62" s="545"/>
      <c r="I62" s="546"/>
      <c r="J62" s="125">
        <f t="shared" si="23"/>
        <v>5512.44</v>
      </c>
      <c r="K62" s="36">
        <f t="shared" si="15"/>
        <v>5512.44</v>
      </c>
      <c r="L62" s="28"/>
      <c r="M62" s="28"/>
      <c r="N62" s="126">
        <v>5512.44</v>
      </c>
      <c r="O62" s="126">
        <f t="shared" si="24"/>
        <v>5788.0619999999999</v>
      </c>
    </row>
    <row r="63" spans="2:15" s="19" customFormat="1" ht="20.100000000000001" customHeight="1" x14ac:dyDescent="0.25">
      <c r="B63" s="546"/>
      <c r="C63" s="123" t="s">
        <v>452</v>
      </c>
      <c r="D63" s="556"/>
      <c r="E63" s="555"/>
      <c r="F63" s="168" t="s">
        <v>492</v>
      </c>
      <c r="G63" s="29" t="s">
        <v>473</v>
      </c>
      <c r="H63" s="545"/>
      <c r="I63" s="546"/>
      <c r="J63" s="125">
        <f t="shared" si="23"/>
        <v>5512.44</v>
      </c>
      <c r="K63" s="36">
        <f t="shared" si="15"/>
        <v>5512.44</v>
      </c>
      <c r="L63" s="28"/>
      <c r="M63" s="28"/>
      <c r="N63" s="126">
        <v>5512.44</v>
      </c>
      <c r="O63" s="126">
        <f t="shared" si="24"/>
        <v>5788.0619999999999</v>
      </c>
    </row>
    <row r="64" spans="2:15" s="19" customFormat="1" ht="20.100000000000001" customHeight="1" x14ac:dyDescent="0.25">
      <c r="B64" s="546"/>
      <c r="C64" s="123" t="s">
        <v>452</v>
      </c>
      <c r="D64" s="556"/>
      <c r="E64" s="555"/>
      <c r="F64" s="303" t="s">
        <v>488</v>
      </c>
      <c r="G64" s="29" t="s">
        <v>472</v>
      </c>
      <c r="H64" s="545"/>
      <c r="I64" s="546"/>
      <c r="J64" s="125">
        <f t="shared" si="23"/>
        <v>5512.44</v>
      </c>
      <c r="K64" s="36">
        <f t="shared" si="15"/>
        <v>5512.44</v>
      </c>
      <c r="L64" s="28"/>
      <c r="M64" s="28"/>
      <c r="N64" s="303">
        <v>5512.44</v>
      </c>
      <c r="O64" s="126">
        <f t="shared" si="24"/>
        <v>5788.0619999999999</v>
      </c>
    </row>
    <row r="65" spans="2:15" s="19" customFormat="1" ht="20.100000000000001" customHeight="1" x14ac:dyDescent="0.25">
      <c r="B65" s="546"/>
      <c r="C65" s="123" t="s">
        <v>448</v>
      </c>
      <c r="D65" s="556" t="s">
        <v>38</v>
      </c>
      <c r="E65" s="555" t="s">
        <v>30</v>
      </c>
      <c r="F65" s="168" t="s">
        <v>272</v>
      </c>
      <c r="G65" s="29" t="s">
        <v>227</v>
      </c>
      <c r="H65" s="545">
        <v>5.4</v>
      </c>
      <c r="I65" s="546" t="s">
        <v>31</v>
      </c>
      <c r="J65" s="125">
        <f t="shared" si="1"/>
        <v>3191.28</v>
      </c>
      <c r="K65" s="36">
        <f t="shared" si="15"/>
        <v>3191.28</v>
      </c>
      <c r="L65" s="28"/>
      <c r="M65" s="28"/>
      <c r="N65" s="163">
        <v>3191.28</v>
      </c>
      <c r="O65" s="36">
        <f t="shared" si="9"/>
        <v>3350.8440000000005</v>
      </c>
    </row>
    <row r="66" spans="2:15" s="19" customFormat="1" ht="20.100000000000001" customHeight="1" x14ac:dyDescent="0.25">
      <c r="B66" s="546"/>
      <c r="C66" s="123" t="s">
        <v>448</v>
      </c>
      <c r="D66" s="556"/>
      <c r="E66" s="555"/>
      <c r="F66" s="168" t="s">
        <v>305</v>
      </c>
      <c r="G66" s="29" t="s">
        <v>132</v>
      </c>
      <c r="H66" s="545"/>
      <c r="I66" s="546"/>
      <c r="J66" s="125">
        <f t="shared" si="1"/>
        <v>3452.93</v>
      </c>
      <c r="K66" s="36">
        <f t="shared" si="15"/>
        <v>3452.93</v>
      </c>
      <c r="L66" s="28"/>
      <c r="M66" s="28"/>
      <c r="N66" s="163">
        <v>3452.93</v>
      </c>
      <c r="O66" s="36">
        <f t="shared" si="9"/>
        <v>3625.5765000000001</v>
      </c>
    </row>
    <row r="67" spans="2:15" s="19" customFormat="1" ht="20.100000000000001" customHeight="1" x14ac:dyDescent="0.25">
      <c r="B67" s="546"/>
      <c r="C67" s="123" t="s">
        <v>448</v>
      </c>
      <c r="D67" s="556"/>
      <c r="E67" s="555"/>
      <c r="F67" s="168" t="s">
        <v>278</v>
      </c>
      <c r="G67" s="29" t="s">
        <v>133</v>
      </c>
      <c r="H67" s="545"/>
      <c r="I67" s="546"/>
      <c r="J67" s="125">
        <f t="shared" si="1"/>
        <v>5031.88</v>
      </c>
      <c r="K67" s="36">
        <f t="shared" si="15"/>
        <v>5031.88</v>
      </c>
      <c r="L67" s="28"/>
      <c r="M67" s="28"/>
      <c r="N67" s="126">
        <v>5031.88</v>
      </c>
      <c r="O67" s="126">
        <f t="shared" si="9"/>
        <v>5283.4740000000002</v>
      </c>
    </row>
    <row r="68" spans="2:15" s="19" customFormat="1" ht="20.100000000000001" customHeight="1" x14ac:dyDescent="0.25">
      <c r="B68" s="546"/>
      <c r="C68" s="123" t="s">
        <v>448</v>
      </c>
      <c r="D68" s="556"/>
      <c r="E68" s="555"/>
      <c r="F68" s="168" t="s">
        <v>282</v>
      </c>
      <c r="G68" s="29" t="s">
        <v>33</v>
      </c>
      <c r="H68" s="545"/>
      <c r="I68" s="546"/>
      <c r="J68" s="125">
        <f t="shared" ref="J68:J70" si="25">K68-K68*$K$3</f>
        <v>5031.88</v>
      </c>
      <c r="K68" s="36">
        <f t="shared" si="15"/>
        <v>5031.88</v>
      </c>
      <c r="L68" s="28"/>
      <c r="M68" s="28"/>
      <c r="N68" s="126">
        <v>5031.88</v>
      </c>
      <c r="O68" s="126">
        <f t="shared" ref="O68:O70" si="26">N68*1.05</f>
        <v>5283.4740000000002</v>
      </c>
    </row>
    <row r="69" spans="2:15" s="19" customFormat="1" ht="20.100000000000001" customHeight="1" x14ac:dyDescent="0.25">
      <c r="B69" s="546"/>
      <c r="C69" s="123" t="s">
        <v>448</v>
      </c>
      <c r="D69" s="556"/>
      <c r="E69" s="555"/>
      <c r="F69" s="168" t="s">
        <v>287</v>
      </c>
      <c r="G69" s="29" t="s">
        <v>34</v>
      </c>
      <c r="H69" s="545"/>
      <c r="I69" s="546"/>
      <c r="J69" s="125">
        <f t="shared" si="25"/>
        <v>5031.88</v>
      </c>
      <c r="K69" s="36">
        <f t="shared" si="15"/>
        <v>5031.88</v>
      </c>
      <c r="L69" s="28"/>
      <c r="M69" s="28"/>
      <c r="N69" s="126">
        <v>5031.88</v>
      </c>
      <c r="O69" s="126">
        <f t="shared" si="26"/>
        <v>5283.4740000000002</v>
      </c>
    </row>
    <row r="70" spans="2:15" s="19" customFormat="1" ht="20.100000000000001" customHeight="1" x14ac:dyDescent="0.25">
      <c r="B70" s="546"/>
      <c r="C70" s="123" t="s">
        <v>448</v>
      </c>
      <c r="D70" s="556"/>
      <c r="E70" s="555"/>
      <c r="F70" s="168" t="s">
        <v>296</v>
      </c>
      <c r="G70" s="29" t="s">
        <v>229</v>
      </c>
      <c r="H70" s="545"/>
      <c r="I70" s="546"/>
      <c r="J70" s="125">
        <f t="shared" si="25"/>
        <v>5031.88</v>
      </c>
      <c r="K70" s="36">
        <f t="shared" si="15"/>
        <v>5031.88</v>
      </c>
      <c r="L70" s="28"/>
      <c r="M70" s="28"/>
      <c r="N70" s="126">
        <v>5031.88</v>
      </c>
      <c r="O70" s="126">
        <f t="shared" si="26"/>
        <v>5283.4740000000002</v>
      </c>
    </row>
    <row r="71" spans="2:15" s="19" customFormat="1" ht="20.100000000000001" customHeight="1" x14ac:dyDescent="0.25">
      <c r="B71" s="546"/>
      <c r="C71" s="123" t="s">
        <v>448</v>
      </c>
      <c r="D71" s="556"/>
      <c r="E71" s="555"/>
      <c r="F71" s="168" t="s">
        <v>299</v>
      </c>
      <c r="G71" s="29" t="s">
        <v>476</v>
      </c>
      <c r="H71" s="545"/>
      <c r="I71" s="546"/>
      <c r="J71" s="125">
        <f>K71-K71*$K$3</f>
        <v>5031.88</v>
      </c>
      <c r="K71" s="36">
        <f t="shared" si="15"/>
        <v>5031.88</v>
      </c>
      <c r="L71" s="28"/>
      <c r="M71" s="28"/>
      <c r="N71" s="126">
        <v>5031.88</v>
      </c>
      <c r="O71" s="126">
        <f>N71*1.05</f>
        <v>5283.4740000000002</v>
      </c>
    </row>
    <row r="72" spans="2:15" s="19" customFormat="1" ht="20.100000000000001" customHeight="1" x14ac:dyDescent="0.25">
      <c r="B72" s="546"/>
      <c r="C72" s="123" t="s">
        <v>448</v>
      </c>
      <c r="D72" s="556"/>
      <c r="E72" s="555"/>
      <c r="F72" s="168" t="s">
        <v>481</v>
      </c>
      <c r="G72" s="29" t="s">
        <v>471</v>
      </c>
      <c r="H72" s="545"/>
      <c r="I72" s="546"/>
      <c r="J72" s="125">
        <f t="shared" ref="J72:J73" si="27">K72-K72*$K$3</f>
        <v>5031.88</v>
      </c>
      <c r="K72" s="36">
        <f t="shared" ref="K72:K100" si="28">IF($K$2=$N$2,N72,O72)</f>
        <v>5031.88</v>
      </c>
      <c r="L72" s="28"/>
      <c r="M72" s="28"/>
      <c r="N72" s="126">
        <v>5031.88</v>
      </c>
      <c r="O72" s="126">
        <f t="shared" ref="O72:O73" si="29">N72*1.05</f>
        <v>5283.4740000000002</v>
      </c>
    </row>
    <row r="73" spans="2:15" s="19" customFormat="1" ht="20.100000000000001" customHeight="1" x14ac:dyDescent="0.25">
      <c r="B73" s="546"/>
      <c r="C73" s="123" t="s">
        <v>448</v>
      </c>
      <c r="D73" s="556"/>
      <c r="E73" s="555"/>
      <c r="F73" s="168" t="s">
        <v>495</v>
      </c>
      <c r="G73" s="29" t="s">
        <v>475</v>
      </c>
      <c r="H73" s="545"/>
      <c r="I73" s="546"/>
      <c r="J73" s="125">
        <f t="shared" si="27"/>
        <v>5031.88</v>
      </c>
      <c r="K73" s="36">
        <f t="shared" si="28"/>
        <v>5031.88</v>
      </c>
      <c r="L73" s="28"/>
      <c r="M73" s="28"/>
      <c r="N73" s="126">
        <v>5031.88</v>
      </c>
      <c r="O73" s="126">
        <f t="shared" si="29"/>
        <v>5283.4740000000002</v>
      </c>
    </row>
    <row r="74" spans="2:15" s="19" customFormat="1" ht="20.100000000000001" customHeight="1" x14ac:dyDescent="0.25">
      <c r="B74" s="541"/>
      <c r="C74" s="299" t="s">
        <v>512</v>
      </c>
      <c r="D74" s="543" t="s">
        <v>326</v>
      </c>
      <c r="E74" s="555" t="s">
        <v>30</v>
      </c>
      <c r="F74" s="168" t="s">
        <v>310</v>
      </c>
      <c r="G74" s="29" t="s">
        <v>227</v>
      </c>
      <c r="H74" s="551">
        <v>5.4</v>
      </c>
      <c r="I74" s="541" t="s">
        <v>31</v>
      </c>
      <c r="J74" s="125">
        <f t="shared" si="1"/>
        <v>3483.76</v>
      </c>
      <c r="K74" s="36">
        <f t="shared" si="28"/>
        <v>3483.76</v>
      </c>
      <c r="L74" s="28"/>
      <c r="M74" s="28"/>
      <c r="N74" s="163">
        <v>3483.76</v>
      </c>
      <c r="O74" s="36">
        <f>N74*1.05</f>
        <v>3657.9480000000003</v>
      </c>
    </row>
    <row r="75" spans="2:15" s="19" customFormat="1" ht="20.100000000000001" customHeight="1" x14ac:dyDescent="0.25">
      <c r="B75" s="554"/>
      <c r="C75" s="299" t="s">
        <v>512</v>
      </c>
      <c r="D75" s="550"/>
      <c r="E75" s="555"/>
      <c r="F75" s="168" t="s">
        <v>312</v>
      </c>
      <c r="G75" s="29" t="s">
        <v>132</v>
      </c>
      <c r="H75" s="552"/>
      <c r="I75" s="554"/>
      <c r="J75" s="125">
        <f t="shared" ref="J75:J76" si="30">K75-K75*$K$3</f>
        <v>3513.5</v>
      </c>
      <c r="K75" s="36">
        <f t="shared" si="28"/>
        <v>3513.5</v>
      </c>
      <c r="L75" s="28"/>
      <c r="M75" s="28"/>
      <c r="N75" s="163">
        <v>3513.5</v>
      </c>
      <c r="O75" s="36">
        <f t="shared" ref="O75:O76" si="31">N75*1.05</f>
        <v>3689.1750000000002</v>
      </c>
    </row>
    <row r="76" spans="2:15" s="19" customFormat="1" ht="20.100000000000001" customHeight="1" x14ac:dyDescent="0.25">
      <c r="B76" s="554"/>
      <c r="C76" s="299" t="s">
        <v>512</v>
      </c>
      <c r="D76" s="550"/>
      <c r="E76" s="555"/>
      <c r="F76" s="168" t="s">
        <v>323</v>
      </c>
      <c r="G76" s="29" t="s">
        <v>228</v>
      </c>
      <c r="H76" s="552"/>
      <c r="I76" s="554"/>
      <c r="J76" s="125">
        <f t="shared" si="30"/>
        <v>4643.7299999999996</v>
      </c>
      <c r="K76" s="36">
        <f t="shared" si="28"/>
        <v>4643.7299999999996</v>
      </c>
      <c r="L76" s="28"/>
      <c r="M76" s="28"/>
      <c r="N76" s="164">
        <v>4643.7299999999996</v>
      </c>
      <c r="O76" s="36">
        <f t="shared" si="31"/>
        <v>4875.9164999999994</v>
      </c>
    </row>
    <row r="77" spans="2:15" s="19" customFormat="1" ht="20.100000000000001" customHeight="1" x14ac:dyDescent="0.25">
      <c r="B77" s="554"/>
      <c r="C77" s="299" t="s">
        <v>512</v>
      </c>
      <c r="D77" s="550"/>
      <c r="E77" s="555"/>
      <c r="F77" s="168" t="s">
        <v>315</v>
      </c>
      <c r="G77" s="29" t="s">
        <v>133</v>
      </c>
      <c r="H77" s="552"/>
      <c r="I77" s="554"/>
      <c r="J77" s="125">
        <f t="shared" si="1"/>
        <v>4643.7299999999996</v>
      </c>
      <c r="K77" s="36">
        <f t="shared" si="28"/>
        <v>4643.7299999999996</v>
      </c>
      <c r="L77" s="28"/>
      <c r="M77" s="28"/>
      <c r="N77" s="167">
        <v>4643.7299999999996</v>
      </c>
      <c r="O77" s="126">
        <f t="shared" si="9"/>
        <v>4875.9164999999994</v>
      </c>
    </row>
    <row r="78" spans="2:15" s="19" customFormat="1" ht="20.100000000000001" customHeight="1" x14ac:dyDescent="0.25">
      <c r="B78" s="554"/>
      <c r="C78" s="299" t="s">
        <v>512</v>
      </c>
      <c r="D78" s="550"/>
      <c r="E78" s="555"/>
      <c r="F78" s="168" t="s">
        <v>317</v>
      </c>
      <c r="G78" s="29" t="s">
        <v>33</v>
      </c>
      <c r="H78" s="552"/>
      <c r="I78" s="554"/>
      <c r="J78" s="125">
        <f t="shared" ref="J78:J81" si="32">K78-K78*$K$3</f>
        <v>4643.7299999999996</v>
      </c>
      <c r="K78" s="36">
        <f t="shared" si="28"/>
        <v>4643.7299999999996</v>
      </c>
      <c r="L78" s="28"/>
      <c r="M78" s="28"/>
      <c r="N78" s="167">
        <v>4643.7299999999996</v>
      </c>
      <c r="O78" s="126">
        <f t="shared" ref="O78:O86" si="33">N78*1.05</f>
        <v>4875.9164999999994</v>
      </c>
    </row>
    <row r="79" spans="2:15" s="19" customFormat="1" ht="20.100000000000001" customHeight="1" x14ac:dyDescent="0.25">
      <c r="B79" s="554"/>
      <c r="C79" s="299" t="s">
        <v>512</v>
      </c>
      <c r="D79" s="550"/>
      <c r="E79" s="555"/>
      <c r="F79" s="168" t="s">
        <v>321</v>
      </c>
      <c r="G79" s="29" t="s">
        <v>34</v>
      </c>
      <c r="H79" s="552"/>
      <c r="I79" s="554"/>
      <c r="J79" s="125">
        <f t="shared" si="32"/>
        <v>4643.7299999999996</v>
      </c>
      <c r="K79" s="36">
        <f t="shared" si="28"/>
        <v>4643.7299999999996</v>
      </c>
      <c r="L79" s="28"/>
      <c r="M79" s="28"/>
      <c r="N79" s="167">
        <v>4643.7299999999996</v>
      </c>
      <c r="O79" s="126">
        <f t="shared" si="33"/>
        <v>4875.9164999999994</v>
      </c>
    </row>
    <row r="80" spans="2:15" s="19" customFormat="1" ht="20.100000000000001" customHeight="1" x14ac:dyDescent="0.25">
      <c r="B80" s="554"/>
      <c r="C80" s="299" t="s">
        <v>512</v>
      </c>
      <c r="D80" s="550"/>
      <c r="E80" s="555"/>
      <c r="F80" s="168" t="s">
        <v>313</v>
      </c>
      <c r="G80" s="29" t="s">
        <v>229</v>
      </c>
      <c r="H80" s="552"/>
      <c r="I80" s="554"/>
      <c r="J80" s="125">
        <f t="shared" si="32"/>
        <v>4643.7299999999996</v>
      </c>
      <c r="K80" s="36">
        <f t="shared" si="28"/>
        <v>4643.7299999999996</v>
      </c>
      <c r="L80" s="28"/>
      <c r="M80" s="28"/>
      <c r="N80" s="167">
        <v>4643.7299999999996</v>
      </c>
      <c r="O80" s="126">
        <f t="shared" si="33"/>
        <v>4875.9164999999994</v>
      </c>
    </row>
    <row r="81" spans="2:15" s="19" customFormat="1" ht="20.100000000000001" customHeight="1" x14ac:dyDescent="0.25">
      <c r="B81" s="554"/>
      <c r="C81" s="299" t="s">
        <v>512</v>
      </c>
      <c r="D81" s="550"/>
      <c r="E81" s="555"/>
      <c r="F81" s="168" t="s">
        <v>319</v>
      </c>
      <c r="G81" s="29" t="s">
        <v>476</v>
      </c>
      <c r="H81" s="552"/>
      <c r="I81" s="554"/>
      <c r="J81" s="125">
        <f t="shared" si="32"/>
        <v>4643.7299999999996</v>
      </c>
      <c r="K81" s="36">
        <f t="shared" si="28"/>
        <v>4643.7299999999996</v>
      </c>
      <c r="L81" s="28"/>
      <c r="M81" s="28"/>
      <c r="N81" s="167">
        <v>4643.7299999999996</v>
      </c>
      <c r="O81" s="126">
        <f t="shared" si="33"/>
        <v>4875.9164999999994</v>
      </c>
    </row>
    <row r="82" spans="2:15" s="19" customFormat="1" ht="20.100000000000001" customHeight="1" x14ac:dyDescent="0.25">
      <c r="B82" s="554"/>
      <c r="C82" s="299" t="s">
        <v>512</v>
      </c>
      <c r="D82" s="550"/>
      <c r="E82" s="29"/>
      <c r="F82" s="168" t="s">
        <v>510</v>
      </c>
      <c r="G82" s="29" t="s">
        <v>474</v>
      </c>
      <c r="H82" s="552"/>
      <c r="I82" s="554"/>
      <c r="J82" s="125">
        <f t="shared" ref="J82:J86" si="34">K82-K82*$K$3</f>
        <v>3530.11</v>
      </c>
      <c r="K82" s="36">
        <f t="shared" si="28"/>
        <v>3530.11</v>
      </c>
      <c r="L82" s="28"/>
      <c r="M82" s="28"/>
      <c r="N82" s="167">
        <v>3530.11</v>
      </c>
      <c r="O82" s="126">
        <f t="shared" si="33"/>
        <v>3706.6155000000003</v>
      </c>
    </row>
    <row r="83" spans="2:15" s="19" customFormat="1" ht="20.100000000000001" customHeight="1" x14ac:dyDescent="0.25">
      <c r="B83" s="554"/>
      <c r="C83" s="299" t="s">
        <v>512</v>
      </c>
      <c r="D83" s="550"/>
      <c r="E83" s="29"/>
      <c r="F83" s="168" t="s">
        <v>502</v>
      </c>
      <c r="G83" s="29" t="s">
        <v>471</v>
      </c>
      <c r="H83" s="552"/>
      <c r="I83" s="554"/>
      <c r="J83" s="125">
        <f t="shared" si="34"/>
        <v>4643.7299999999996</v>
      </c>
      <c r="K83" s="36">
        <f t="shared" si="28"/>
        <v>4643.7299999999996</v>
      </c>
      <c r="L83" s="28"/>
      <c r="M83" s="28"/>
      <c r="N83" s="167">
        <v>4643.7299999999996</v>
      </c>
      <c r="O83" s="126">
        <f t="shared" si="33"/>
        <v>4875.9164999999994</v>
      </c>
    </row>
    <row r="84" spans="2:15" s="19" customFormat="1" ht="20.100000000000001" customHeight="1" x14ac:dyDescent="0.25">
      <c r="B84" s="554"/>
      <c r="C84" s="299" t="s">
        <v>512</v>
      </c>
      <c r="D84" s="550"/>
      <c r="E84" s="29"/>
      <c r="F84" s="168" t="s">
        <v>504</v>
      </c>
      <c r="G84" s="29" t="s">
        <v>475</v>
      </c>
      <c r="H84" s="552"/>
      <c r="I84" s="554"/>
      <c r="J84" s="125">
        <f t="shared" si="34"/>
        <v>4643.7299999999996</v>
      </c>
      <c r="K84" s="36">
        <f t="shared" si="28"/>
        <v>4643.7299999999996</v>
      </c>
      <c r="L84" s="28"/>
      <c r="M84" s="28"/>
      <c r="N84" s="167">
        <v>4643.7299999999996</v>
      </c>
      <c r="O84" s="126">
        <f t="shared" si="33"/>
        <v>4875.9164999999994</v>
      </c>
    </row>
    <row r="85" spans="2:15" s="19" customFormat="1" ht="20.100000000000001" customHeight="1" x14ac:dyDescent="0.25">
      <c r="B85" s="554"/>
      <c r="C85" s="299" t="s">
        <v>512</v>
      </c>
      <c r="D85" s="550"/>
      <c r="E85" s="29"/>
      <c r="F85" s="168" t="s">
        <v>508</v>
      </c>
      <c r="G85" s="29" t="s">
        <v>473</v>
      </c>
      <c r="H85" s="552"/>
      <c r="I85" s="554"/>
      <c r="J85" s="125">
        <f t="shared" si="34"/>
        <v>4643.7299999999996</v>
      </c>
      <c r="K85" s="36">
        <f t="shared" si="28"/>
        <v>4643.7299999999996</v>
      </c>
      <c r="L85" s="28"/>
      <c r="M85" s="28"/>
      <c r="N85" s="167">
        <v>4643.7299999999996</v>
      </c>
      <c r="O85" s="126">
        <f t="shared" si="33"/>
        <v>4875.9164999999994</v>
      </c>
    </row>
    <row r="86" spans="2:15" s="19" customFormat="1" ht="20.100000000000001" customHeight="1" x14ac:dyDescent="0.25">
      <c r="B86" s="542"/>
      <c r="C86" s="299" t="s">
        <v>512</v>
      </c>
      <c r="D86" s="544"/>
      <c r="E86" s="29"/>
      <c r="F86" s="168" t="s">
        <v>506</v>
      </c>
      <c r="G86" s="29" t="s">
        <v>472</v>
      </c>
      <c r="H86" s="553"/>
      <c r="I86" s="542"/>
      <c r="J86" s="125">
        <f t="shared" si="34"/>
        <v>4643.7299999999996</v>
      </c>
      <c r="K86" s="36">
        <f t="shared" si="28"/>
        <v>4643.7299999999996</v>
      </c>
      <c r="L86" s="28"/>
      <c r="M86" s="28"/>
      <c r="N86" s="167">
        <v>4643.7299999999996</v>
      </c>
      <c r="O86" s="126">
        <f t="shared" si="33"/>
        <v>4875.9164999999994</v>
      </c>
    </row>
    <row r="87" spans="2:15" s="19" customFormat="1" ht="30" customHeight="1" x14ac:dyDescent="0.25">
      <c r="B87" s="123"/>
      <c r="C87" s="123" t="s">
        <v>6</v>
      </c>
      <c r="D87" s="124" t="s">
        <v>156</v>
      </c>
      <c r="E87" s="29" t="s">
        <v>36</v>
      </c>
      <c r="F87" s="168" t="s">
        <v>309</v>
      </c>
      <c r="G87" s="29" t="s">
        <v>155</v>
      </c>
      <c r="H87" s="122">
        <v>5.4</v>
      </c>
      <c r="I87" s="123" t="s">
        <v>31</v>
      </c>
      <c r="J87" s="125">
        <f t="shared" si="1"/>
        <v>1015.61</v>
      </c>
      <c r="K87" s="36">
        <f t="shared" si="28"/>
        <v>1015.61</v>
      </c>
      <c r="L87" s="28"/>
      <c r="M87" s="28"/>
      <c r="N87" s="163">
        <v>1015.61</v>
      </c>
      <c r="O87" s="36">
        <f t="shared" si="9"/>
        <v>1066.3905</v>
      </c>
    </row>
    <row r="88" spans="2:15" s="19" customFormat="1" ht="20.100000000000001" customHeight="1" x14ac:dyDescent="0.25">
      <c r="B88" s="541"/>
      <c r="C88" s="299" t="s">
        <v>451</v>
      </c>
      <c r="D88" s="543" t="s">
        <v>238</v>
      </c>
      <c r="E88" s="555" t="s">
        <v>36</v>
      </c>
      <c r="F88" s="168" t="s">
        <v>308</v>
      </c>
      <c r="G88" s="29" t="s">
        <v>227</v>
      </c>
      <c r="H88" s="551">
        <v>5.4</v>
      </c>
      <c r="I88" s="541" t="s">
        <v>31</v>
      </c>
      <c r="J88" s="125">
        <f t="shared" si="1"/>
        <v>2136</v>
      </c>
      <c r="K88" s="36">
        <f t="shared" si="28"/>
        <v>2136</v>
      </c>
      <c r="L88" s="28"/>
      <c r="M88" s="28"/>
      <c r="N88" s="163">
        <v>2136</v>
      </c>
      <c r="O88" s="36">
        <f t="shared" si="9"/>
        <v>2242.8000000000002</v>
      </c>
    </row>
    <row r="89" spans="2:15" s="19" customFormat="1" ht="20.100000000000001" customHeight="1" x14ac:dyDescent="0.25">
      <c r="B89" s="554"/>
      <c r="C89" s="299" t="s">
        <v>451</v>
      </c>
      <c r="D89" s="550"/>
      <c r="E89" s="555"/>
      <c r="F89" s="168" t="s">
        <v>311</v>
      </c>
      <c r="G89" s="29" t="s">
        <v>132</v>
      </c>
      <c r="H89" s="552"/>
      <c r="I89" s="554"/>
      <c r="J89" s="125">
        <f t="shared" si="1"/>
        <v>2318.09</v>
      </c>
      <c r="K89" s="36">
        <f t="shared" si="28"/>
        <v>2318.09</v>
      </c>
      <c r="L89" s="28"/>
      <c r="M89" s="28"/>
      <c r="N89" s="163">
        <v>2318.09</v>
      </c>
      <c r="O89" s="36">
        <f t="shared" si="9"/>
        <v>2433.9945000000002</v>
      </c>
    </row>
    <row r="90" spans="2:15" s="19" customFormat="1" ht="20.100000000000001" customHeight="1" x14ac:dyDescent="0.25">
      <c r="B90" s="554"/>
      <c r="C90" s="299" t="s">
        <v>451</v>
      </c>
      <c r="D90" s="550"/>
      <c r="E90" s="555"/>
      <c r="F90" s="168" t="s">
        <v>324</v>
      </c>
      <c r="G90" s="29" t="s">
        <v>228</v>
      </c>
      <c r="H90" s="552"/>
      <c r="I90" s="554"/>
      <c r="J90" s="125">
        <f>K90-K90*$K$3</f>
        <v>2209.34</v>
      </c>
      <c r="K90" s="36">
        <f t="shared" si="28"/>
        <v>2209.34</v>
      </c>
      <c r="L90" s="28"/>
      <c r="M90" s="28"/>
      <c r="N90" s="167">
        <v>2209.34</v>
      </c>
      <c r="O90" s="126">
        <f>N90*1.05</f>
        <v>2319.8070000000002</v>
      </c>
    </row>
    <row r="91" spans="2:15" s="19" customFormat="1" ht="20.100000000000001" customHeight="1" x14ac:dyDescent="0.25">
      <c r="B91" s="554"/>
      <c r="C91" s="299" t="s">
        <v>451</v>
      </c>
      <c r="D91" s="550"/>
      <c r="E91" s="555"/>
      <c r="F91" s="168" t="s">
        <v>316</v>
      </c>
      <c r="G91" s="29" t="s">
        <v>133</v>
      </c>
      <c r="H91" s="552"/>
      <c r="I91" s="554"/>
      <c r="J91" s="125">
        <f t="shared" ref="J91:J95" si="35">K91-K91*$K$3</f>
        <v>2209.34</v>
      </c>
      <c r="K91" s="36">
        <f t="shared" si="28"/>
        <v>2209.34</v>
      </c>
      <c r="L91" s="28"/>
      <c r="M91" s="28"/>
      <c r="N91" s="167">
        <v>2209.34</v>
      </c>
      <c r="O91" s="126">
        <f t="shared" ref="O91:O100" si="36">N91*1.05</f>
        <v>2319.8070000000002</v>
      </c>
    </row>
    <row r="92" spans="2:15" s="19" customFormat="1" ht="20.100000000000001" customHeight="1" x14ac:dyDescent="0.25">
      <c r="B92" s="554"/>
      <c r="C92" s="299" t="s">
        <v>451</v>
      </c>
      <c r="D92" s="550"/>
      <c r="E92" s="555"/>
      <c r="F92" s="168" t="s">
        <v>318</v>
      </c>
      <c r="G92" s="29" t="s">
        <v>33</v>
      </c>
      <c r="H92" s="552"/>
      <c r="I92" s="554"/>
      <c r="J92" s="125">
        <f t="shared" si="35"/>
        <v>2209.34</v>
      </c>
      <c r="K92" s="36">
        <f t="shared" si="28"/>
        <v>2209.34</v>
      </c>
      <c r="L92" s="28"/>
      <c r="M92" s="28"/>
      <c r="N92" s="167">
        <v>2209.34</v>
      </c>
      <c r="O92" s="126">
        <f t="shared" si="36"/>
        <v>2319.8070000000002</v>
      </c>
    </row>
    <row r="93" spans="2:15" s="19" customFormat="1" ht="20.100000000000001" customHeight="1" x14ac:dyDescent="0.25">
      <c r="B93" s="554"/>
      <c r="C93" s="299" t="s">
        <v>451</v>
      </c>
      <c r="D93" s="550"/>
      <c r="E93" s="555"/>
      <c r="F93" s="168" t="s">
        <v>322</v>
      </c>
      <c r="G93" s="29" t="s">
        <v>34</v>
      </c>
      <c r="H93" s="552"/>
      <c r="I93" s="554"/>
      <c r="J93" s="125">
        <f t="shared" si="35"/>
        <v>2209.34</v>
      </c>
      <c r="K93" s="36">
        <f t="shared" si="28"/>
        <v>2209.34</v>
      </c>
      <c r="L93" s="28"/>
      <c r="M93" s="28"/>
      <c r="N93" s="167">
        <v>2209.34</v>
      </c>
      <c r="O93" s="126">
        <f t="shared" si="36"/>
        <v>2319.8070000000002</v>
      </c>
    </row>
    <row r="94" spans="2:15" s="19" customFormat="1" ht="20.100000000000001" customHeight="1" x14ac:dyDescent="0.25">
      <c r="B94" s="554"/>
      <c r="C94" s="299" t="s">
        <v>451</v>
      </c>
      <c r="D94" s="550"/>
      <c r="E94" s="555"/>
      <c r="F94" s="168" t="s">
        <v>314</v>
      </c>
      <c r="G94" s="29" t="s">
        <v>229</v>
      </c>
      <c r="H94" s="552"/>
      <c r="I94" s="554"/>
      <c r="J94" s="125">
        <f t="shared" si="35"/>
        <v>2209.34</v>
      </c>
      <c r="K94" s="36">
        <f t="shared" si="28"/>
        <v>2209.34</v>
      </c>
      <c r="L94" s="28"/>
      <c r="M94" s="28"/>
      <c r="N94" s="167">
        <v>2209.34</v>
      </c>
      <c r="O94" s="126">
        <f t="shared" si="36"/>
        <v>2319.8070000000002</v>
      </c>
    </row>
    <row r="95" spans="2:15" s="19" customFormat="1" ht="20.100000000000001" customHeight="1" x14ac:dyDescent="0.25">
      <c r="B95" s="554"/>
      <c r="C95" s="299" t="s">
        <v>451</v>
      </c>
      <c r="D95" s="550"/>
      <c r="E95" s="555"/>
      <c r="F95" s="168" t="s">
        <v>320</v>
      </c>
      <c r="G95" s="29" t="s">
        <v>476</v>
      </c>
      <c r="H95" s="552"/>
      <c r="I95" s="554"/>
      <c r="J95" s="125">
        <f t="shared" si="35"/>
        <v>2209.34</v>
      </c>
      <c r="K95" s="36">
        <f t="shared" si="28"/>
        <v>2209.34</v>
      </c>
      <c r="L95" s="28"/>
      <c r="M95" s="28"/>
      <c r="N95" s="167">
        <v>2209.34</v>
      </c>
      <c r="O95" s="126">
        <f t="shared" si="36"/>
        <v>2319.8070000000002</v>
      </c>
    </row>
    <row r="96" spans="2:15" s="19" customFormat="1" ht="20.100000000000001" customHeight="1" x14ac:dyDescent="0.25">
      <c r="B96" s="554"/>
      <c r="C96" s="299" t="s">
        <v>451</v>
      </c>
      <c r="D96" s="550"/>
      <c r="E96" s="29"/>
      <c r="F96" s="168" t="s">
        <v>511</v>
      </c>
      <c r="G96" s="29" t="s">
        <v>474</v>
      </c>
      <c r="H96" s="552"/>
      <c r="I96" s="554"/>
      <c r="J96" s="125">
        <f t="shared" ref="J96:J100" si="37">K96-K96*$K$3</f>
        <v>2162.16</v>
      </c>
      <c r="K96" s="36">
        <f t="shared" si="28"/>
        <v>2162.16</v>
      </c>
      <c r="L96" s="28"/>
      <c r="M96" s="28"/>
      <c r="N96" s="167">
        <v>2162.16</v>
      </c>
      <c r="O96" s="126">
        <f t="shared" si="36"/>
        <v>2270.268</v>
      </c>
    </row>
    <row r="97" spans="2:15" s="19" customFormat="1" ht="20.100000000000001" customHeight="1" x14ac:dyDescent="0.25">
      <c r="B97" s="554"/>
      <c r="C97" s="299" t="s">
        <v>451</v>
      </c>
      <c r="D97" s="550"/>
      <c r="E97" s="29"/>
      <c r="F97" s="168" t="s">
        <v>503</v>
      </c>
      <c r="G97" s="29" t="s">
        <v>471</v>
      </c>
      <c r="H97" s="552"/>
      <c r="I97" s="554"/>
      <c r="J97" s="125">
        <f t="shared" si="37"/>
        <v>2209.34</v>
      </c>
      <c r="K97" s="36">
        <f t="shared" si="28"/>
        <v>2209.34</v>
      </c>
      <c r="L97" s="28"/>
      <c r="M97" s="28"/>
      <c r="N97" s="167">
        <v>2209.34</v>
      </c>
      <c r="O97" s="126">
        <f t="shared" si="36"/>
        <v>2319.8070000000002</v>
      </c>
    </row>
    <row r="98" spans="2:15" s="19" customFormat="1" ht="20.100000000000001" customHeight="1" x14ac:dyDescent="0.25">
      <c r="B98" s="554"/>
      <c r="C98" s="299" t="s">
        <v>451</v>
      </c>
      <c r="D98" s="550"/>
      <c r="E98" s="29"/>
      <c r="F98" s="168" t="s">
        <v>505</v>
      </c>
      <c r="G98" s="29" t="s">
        <v>475</v>
      </c>
      <c r="H98" s="552"/>
      <c r="I98" s="554"/>
      <c r="J98" s="125">
        <f t="shared" si="37"/>
        <v>2209.34</v>
      </c>
      <c r="K98" s="36">
        <f t="shared" si="28"/>
        <v>2209.34</v>
      </c>
      <c r="L98" s="28"/>
      <c r="M98" s="28"/>
      <c r="N98" s="167">
        <v>2209.34</v>
      </c>
      <c r="O98" s="126">
        <f t="shared" si="36"/>
        <v>2319.8070000000002</v>
      </c>
    </row>
    <row r="99" spans="2:15" s="19" customFormat="1" ht="20.100000000000001" customHeight="1" x14ac:dyDescent="0.25">
      <c r="B99" s="554"/>
      <c r="C99" s="299" t="s">
        <v>451</v>
      </c>
      <c r="D99" s="550"/>
      <c r="E99" s="29"/>
      <c r="F99" s="168" t="s">
        <v>509</v>
      </c>
      <c r="G99" s="29" t="s">
        <v>473</v>
      </c>
      <c r="H99" s="552"/>
      <c r="I99" s="554"/>
      <c r="J99" s="125">
        <f t="shared" si="37"/>
        <v>2209.34</v>
      </c>
      <c r="K99" s="36">
        <f t="shared" si="28"/>
        <v>2209.34</v>
      </c>
      <c r="L99" s="28"/>
      <c r="M99" s="28"/>
      <c r="N99" s="167">
        <v>2209.34</v>
      </c>
      <c r="O99" s="126">
        <f t="shared" si="36"/>
        <v>2319.8070000000002</v>
      </c>
    </row>
    <row r="100" spans="2:15" s="19" customFormat="1" ht="20.100000000000001" customHeight="1" x14ac:dyDescent="0.25">
      <c r="B100" s="542"/>
      <c r="C100" s="299" t="s">
        <v>451</v>
      </c>
      <c r="D100" s="544"/>
      <c r="E100" s="29"/>
      <c r="F100" s="168" t="s">
        <v>507</v>
      </c>
      <c r="G100" s="29" t="s">
        <v>472</v>
      </c>
      <c r="H100" s="553"/>
      <c r="I100" s="542"/>
      <c r="J100" s="125">
        <f t="shared" si="37"/>
        <v>2209.34</v>
      </c>
      <c r="K100" s="36">
        <f t="shared" si="28"/>
        <v>2209.34</v>
      </c>
      <c r="L100" s="28"/>
      <c r="M100" s="28"/>
      <c r="N100" s="167">
        <v>2209.34</v>
      </c>
      <c r="O100" s="126">
        <f t="shared" si="36"/>
        <v>2319.8070000000002</v>
      </c>
    </row>
    <row r="101" spans="2:15" s="19" customFormat="1" ht="18" customHeight="1" x14ac:dyDescent="0.25">
      <c r="B101" s="173" t="s">
        <v>39</v>
      </c>
      <c r="C101" s="173"/>
      <c r="D101" s="173"/>
      <c r="E101" s="173"/>
      <c r="F101" s="173"/>
      <c r="G101" s="173"/>
      <c r="H101" s="173"/>
      <c r="I101" s="173"/>
      <c r="J101" s="173"/>
      <c r="K101" s="173"/>
      <c r="L101" s="28"/>
      <c r="M101" s="28"/>
      <c r="N101" s="160"/>
      <c r="O101" s="161"/>
    </row>
    <row r="102" spans="2:15" s="19" customFormat="1" ht="20.100000000000001" customHeight="1" x14ac:dyDescent="0.25">
      <c r="B102" s="546"/>
      <c r="C102" s="123"/>
      <c r="D102" s="556" t="s">
        <v>40</v>
      </c>
      <c r="E102" s="573" t="s">
        <v>41</v>
      </c>
      <c r="F102" s="168" t="s">
        <v>336</v>
      </c>
      <c r="G102" s="29" t="s">
        <v>227</v>
      </c>
      <c r="H102" s="545"/>
      <c r="I102" s="560" t="s">
        <v>31</v>
      </c>
      <c r="J102" s="125">
        <f>K102-K102*$K$3</f>
        <v>446.37</v>
      </c>
      <c r="K102" s="36">
        <f t="shared" ref="K102:K132" si="38">IF($K$2=$N$2,N102,O102)</f>
        <v>446.37</v>
      </c>
      <c r="L102" s="28"/>
      <c r="M102" s="28"/>
      <c r="N102" s="171">
        <v>446.37</v>
      </c>
      <c r="O102" s="126">
        <f t="shared" ref="O102:O122" si="39">N102*1.05</f>
        <v>468.68850000000003</v>
      </c>
    </row>
    <row r="103" spans="2:15" s="19" customFormat="1" ht="20.100000000000001" customHeight="1" x14ac:dyDescent="0.25">
      <c r="B103" s="546"/>
      <c r="C103" s="123"/>
      <c r="D103" s="556"/>
      <c r="E103" s="573"/>
      <c r="F103" s="168" t="s">
        <v>391</v>
      </c>
      <c r="G103" s="29" t="s">
        <v>132</v>
      </c>
      <c r="H103" s="545"/>
      <c r="I103" s="560"/>
      <c r="J103" s="125">
        <f t="shared" ref="J103:J104" si="40">K103-K103*$K$3</f>
        <v>446.37</v>
      </c>
      <c r="K103" s="36">
        <f t="shared" si="38"/>
        <v>446.37</v>
      </c>
      <c r="L103" s="28"/>
      <c r="M103" s="28"/>
      <c r="N103" s="171">
        <v>446.37</v>
      </c>
      <c r="O103" s="126">
        <f t="shared" ref="O103:O104" si="41">N103*1.05</f>
        <v>468.68850000000003</v>
      </c>
    </row>
    <row r="104" spans="2:15" s="19" customFormat="1" ht="20.100000000000001" customHeight="1" x14ac:dyDescent="0.25">
      <c r="B104" s="546"/>
      <c r="C104" s="123"/>
      <c r="D104" s="556"/>
      <c r="E104" s="573"/>
      <c r="F104" s="168" t="s">
        <v>381</v>
      </c>
      <c r="G104" s="29" t="s">
        <v>136</v>
      </c>
      <c r="H104" s="545"/>
      <c r="I104" s="560"/>
      <c r="J104" s="125">
        <f t="shared" si="40"/>
        <v>446.37</v>
      </c>
      <c r="K104" s="36">
        <f t="shared" si="38"/>
        <v>446.37</v>
      </c>
      <c r="L104" s="28"/>
      <c r="M104" s="28"/>
      <c r="N104" s="171">
        <v>446.37</v>
      </c>
      <c r="O104" s="126">
        <f t="shared" si="41"/>
        <v>468.68850000000003</v>
      </c>
    </row>
    <row r="105" spans="2:15" s="19" customFormat="1" ht="40.049999999999997" customHeight="1" x14ac:dyDescent="0.25">
      <c r="B105" s="123"/>
      <c r="C105" s="123" t="s">
        <v>42</v>
      </c>
      <c r="D105" s="124" t="s">
        <v>42</v>
      </c>
      <c r="E105" s="29" t="s">
        <v>43</v>
      </c>
      <c r="F105" s="168" t="s">
        <v>337</v>
      </c>
      <c r="G105" s="29" t="s">
        <v>227</v>
      </c>
      <c r="H105" s="122"/>
      <c r="I105" s="127" t="s">
        <v>31</v>
      </c>
      <c r="J105" s="125">
        <f>K105-K105*$K$3</f>
        <v>2188.8200000000002</v>
      </c>
      <c r="K105" s="36">
        <f t="shared" si="38"/>
        <v>2188.8200000000002</v>
      </c>
      <c r="L105" s="28"/>
      <c r="M105" s="28"/>
      <c r="N105" s="163">
        <v>2188.8200000000002</v>
      </c>
      <c r="O105" s="36">
        <f t="shared" si="39"/>
        <v>2298.2610000000004</v>
      </c>
    </row>
    <row r="106" spans="2:15" s="19" customFormat="1" ht="20.100000000000001" customHeight="1" x14ac:dyDescent="0.25">
      <c r="B106" s="546"/>
      <c r="C106" s="123"/>
      <c r="D106" s="556" t="s">
        <v>44</v>
      </c>
      <c r="E106" s="555" t="s">
        <v>45</v>
      </c>
      <c r="F106" s="168" t="s">
        <v>338</v>
      </c>
      <c r="G106" s="29" t="s">
        <v>227</v>
      </c>
      <c r="H106" s="545"/>
      <c r="I106" s="560" t="s">
        <v>46</v>
      </c>
      <c r="J106" s="125">
        <f>K106-K106*$K$3</f>
        <v>93.19</v>
      </c>
      <c r="K106" s="36">
        <f t="shared" si="38"/>
        <v>93.19</v>
      </c>
      <c r="L106" s="28"/>
      <c r="M106" s="28"/>
      <c r="N106" s="171">
        <v>93.19</v>
      </c>
      <c r="O106" s="126">
        <f t="shared" si="39"/>
        <v>97.849500000000006</v>
      </c>
    </row>
    <row r="107" spans="2:15" s="19" customFormat="1" ht="20.100000000000001" customHeight="1" x14ac:dyDescent="0.25">
      <c r="B107" s="546"/>
      <c r="C107" s="123"/>
      <c r="D107" s="556"/>
      <c r="E107" s="555"/>
      <c r="F107" s="168" t="s">
        <v>392</v>
      </c>
      <c r="G107" s="29" t="s">
        <v>132</v>
      </c>
      <c r="H107" s="545"/>
      <c r="I107" s="560"/>
      <c r="J107" s="125">
        <f t="shared" ref="J107:J108" si="42">K107-K107*$K$3</f>
        <v>93.19</v>
      </c>
      <c r="K107" s="36">
        <f t="shared" si="38"/>
        <v>93.19</v>
      </c>
      <c r="L107" s="28"/>
      <c r="M107" s="28"/>
      <c r="N107" s="171">
        <v>93.19</v>
      </c>
      <c r="O107" s="126">
        <f t="shared" ref="O107:O108" si="43">N107*1.05</f>
        <v>97.849500000000006</v>
      </c>
    </row>
    <row r="108" spans="2:15" s="19" customFormat="1" ht="20.100000000000001" customHeight="1" x14ac:dyDescent="0.25">
      <c r="B108" s="546"/>
      <c r="C108" s="123"/>
      <c r="D108" s="556"/>
      <c r="E108" s="555"/>
      <c r="F108" s="168" t="s">
        <v>382</v>
      </c>
      <c r="G108" s="29" t="s">
        <v>136</v>
      </c>
      <c r="H108" s="545"/>
      <c r="I108" s="560"/>
      <c r="J108" s="125">
        <f t="shared" si="42"/>
        <v>93.19</v>
      </c>
      <c r="K108" s="36">
        <f t="shared" si="38"/>
        <v>93.19</v>
      </c>
      <c r="L108" s="28"/>
      <c r="M108" s="28"/>
      <c r="N108" s="171">
        <v>93.19</v>
      </c>
      <c r="O108" s="126">
        <f t="shared" si="43"/>
        <v>97.849500000000006</v>
      </c>
    </row>
    <row r="109" spans="2:15" s="31" customFormat="1" ht="20.100000000000001" customHeight="1" x14ac:dyDescent="0.25">
      <c r="B109" s="572"/>
      <c r="C109" s="124"/>
      <c r="D109" s="556" t="s">
        <v>215</v>
      </c>
      <c r="E109" s="570"/>
      <c r="F109" s="168" t="s">
        <v>374</v>
      </c>
      <c r="G109" s="29" t="s">
        <v>227</v>
      </c>
      <c r="H109" s="571"/>
      <c r="I109" s="570" t="s">
        <v>31</v>
      </c>
      <c r="J109" s="125">
        <f>K109-K109*$K$3</f>
        <v>281.54000000000002</v>
      </c>
      <c r="K109" s="36">
        <f t="shared" si="38"/>
        <v>281.54000000000002</v>
      </c>
      <c r="L109" s="28"/>
      <c r="M109" s="28"/>
      <c r="N109" s="126">
        <v>281.54000000000002</v>
      </c>
      <c r="O109" s="126">
        <f t="shared" si="39"/>
        <v>295.61700000000002</v>
      </c>
    </row>
    <row r="110" spans="2:15" s="31" customFormat="1" ht="20.100000000000001" customHeight="1" x14ac:dyDescent="0.25">
      <c r="B110" s="572"/>
      <c r="C110" s="124"/>
      <c r="D110" s="556"/>
      <c r="E110" s="570"/>
      <c r="F110" s="168" t="s">
        <v>373</v>
      </c>
      <c r="G110" s="29" t="s">
        <v>329</v>
      </c>
      <c r="H110" s="571"/>
      <c r="I110" s="570"/>
      <c r="J110" s="125">
        <f t="shared" ref="J110:J112" si="44">K110-K110*$K$3</f>
        <v>281.54000000000002</v>
      </c>
      <c r="K110" s="36">
        <f t="shared" si="38"/>
        <v>281.54000000000002</v>
      </c>
      <c r="L110" s="28"/>
      <c r="M110" s="28"/>
      <c r="N110" s="126">
        <v>281.54000000000002</v>
      </c>
      <c r="O110" s="126">
        <f t="shared" ref="O110:O112" si="45">N110*1.05</f>
        <v>295.61700000000002</v>
      </c>
    </row>
    <row r="111" spans="2:15" s="31" customFormat="1" ht="20.100000000000001" customHeight="1" x14ac:dyDescent="0.25">
      <c r="B111" s="572"/>
      <c r="C111" s="124"/>
      <c r="D111" s="556"/>
      <c r="E111" s="570"/>
      <c r="F111" s="168" t="s">
        <v>389</v>
      </c>
      <c r="G111" s="29" t="s">
        <v>328</v>
      </c>
      <c r="H111" s="571"/>
      <c r="I111" s="570"/>
      <c r="J111" s="125">
        <f t="shared" si="44"/>
        <v>281.54000000000002</v>
      </c>
      <c r="K111" s="36">
        <f t="shared" si="38"/>
        <v>281.54000000000002</v>
      </c>
      <c r="L111" s="28"/>
      <c r="M111" s="28"/>
      <c r="N111" s="126">
        <v>281.54000000000002</v>
      </c>
      <c r="O111" s="126">
        <f t="shared" si="45"/>
        <v>295.61700000000002</v>
      </c>
    </row>
    <row r="112" spans="2:15" s="31" customFormat="1" ht="20.100000000000001" customHeight="1" x14ac:dyDescent="0.25">
      <c r="B112" s="572"/>
      <c r="C112" s="124"/>
      <c r="D112" s="556"/>
      <c r="E112" s="570"/>
      <c r="F112" s="168" t="s">
        <v>401</v>
      </c>
      <c r="G112" s="29" t="s">
        <v>327</v>
      </c>
      <c r="H112" s="571"/>
      <c r="I112" s="570"/>
      <c r="J112" s="125">
        <f t="shared" si="44"/>
        <v>281.54000000000002</v>
      </c>
      <c r="K112" s="36">
        <f t="shared" si="38"/>
        <v>281.54000000000002</v>
      </c>
      <c r="L112" s="28"/>
      <c r="M112" s="28"/>
      <c r="N112" s="126">
        <v>281.54000000000002</v>
      </c>
      <c r="O112" s="126">
        <f t="shared" si="45"/>
        <v>295.61700000000002</v>
      </c>
    </row>
    <row r="113" spans="2:15" s="31" customFormat="1" ht="20.100000000000001" customHeight="1" x14ac:dyDescent="0.25">
      <c r="B113" s="567"/>
      <c r="C113" s="296"/>
      <c r="D113" s="543" t="s">
        <v>138</v>
      </c>
      <c r="E113" s="129" t="s">
        <v>139</v>
      </c>
      <c r="F113" s="168" t="s">
        <v>344</v>
      </c>
      <c r="G113" s="29" t="s">
        <v>227</v>
      </c>
      <c r="H113" s="564"/>
      <c r="I113" s="561" t="s">
        <v>31</v>
      </c>
      <c r="J113" s="125">
        <f>K113-K113*$K$3</f>
        <v>2849.07</v>
      </c>
      <c r="K113" s="36">
        <f t="shared" si="38"/>
        <v>2849.07</v>
      </c>
      <c r="L113" s="28"/>
      <c r="M113" s="28"/>
      <c r="N113" s="163">
        <v>2849.07</v>
      </c>
      <c r="O113" s="36">
        <f t="shared" si="39"/>
        <v>2991.5235000000002</v>
      </c>
    </row>
    <row r="114" spans="2:15" s="31" customFormat="1" ht="20.100000000000001" customHeight="1" x14ac:dyDescent="0.25">
      <c r="B114" s="568"/>
      <c r="C114" s="297"/>
      <c r="D114" s="550"/>
      <c r="E114" s="129"/>
      <c r="F114" s="168" t="s">
        <v>343</v>
      </c>
      <c r="G114" s="29" t="s">
        <v>331</v>
      </c>
      <c r="H114" s="565"/>
      <c r="I114" s="562"/>
      <c r="J114" s="125">
        <f t="shared" ref="J114:J115" si="46">K114-K114*$K$3</f>
        <v>2849.07</v>
      </c>
      <c r="K114" s="36">
        <f t="shared" si="38"/>
        <v>2849.07</v>
      </c>
      <c r="L114" s="28"/>
      <c r="M114" s="28"/>
      <c r="N114" s="163">
        <v>2849.07</v>
      </c>
      <c r="O114" s="36">
        <f t="shared" ref="O114:O115" si="47">N114*1.05</f>
        <v>2991.5235000000002</v>
      </c>
    </row>
    <row r="115" spans="2:15" s="31" customFormat="1" ht="20.100000000000001" customHeight="1" x14ac:dyDescent="0.25">
      <c r="B115" s="569"/>
      <c r="C115" s="298"/>
      <c r="D115" s="544"/>
      <c r="E115" s="129"/>
      <c r="F115" s="168" t="s">
        <v>345</v>
      </c>
      <c r="G115" s="29" t="s">
        <v>330</v>
      </c>
      <c r="H115" s="566"/>
      <c r="I115" s="563"/>
      <c r="J115" s="125">
        <f t="shared" si="46"/>
        <v>2849.07</v>
      </c>
      <c r="K115" s="36">
        <f t="shared" si="38"/>
        <v>2849.07</v>
      </c>
      <c r="L115" s="28"/>
      <c r="M115" s="28"/>
      <c r="N115" s="163">
        <v>2849.07</v>
      </c>
      <c r="O115" s="36">
        <f t="shared" si="47"/>
        <v>2991.5235000000002</v>
      </c>
    </row>
    <row r="116" spans="2:15" s="31" customFormat="1" ht="20.100000000000001" customHeight="1" x14ac:dyDescent="0.25">
      <c r="B116" s="567"/>
      <c r="C116" s="296"/>
      <c r="D116" s="543" t="s">
        <v>140</v>
      </c>
      <c r="E116" s="129" t="s">
        <v>139</v>
      </c>
      <c r="F116" s="168" t="s">
        <v>340</v>
      </c>
      <c r="G116" s="29" t="s">
        <v>227</v>
      </c>
      <c r="H116" s="564"/>
      <c r="I116" s="561" t="s">
        <v>31</v>
      </c>
      <c r="J116" s="125">
        <f>K116-K116*$K$3</f>
        <v>2849.07</v>
      </c>
      <c r="K116" s="36">
        <f t="shared" si="38"/>
        <v>2849.07</v>
      </c>
      <c r="L116" s="28"/>
      <c r="M116" s="28"/>
      <c r="N116" s="163">
        <v>2849.07</v>
      </c>
      <c r="O116" s="36">
        <f t="shared" si="39"/>
        <v>2991.5235000000002</v>
      </c>
    </row>
    <row r="117" spans="2:15" s="31" customFormat="1" ht="20.100000000000001" customHeight="1" x14ac:dyDescent="0.25">
      <c r="B117" s="568"/>
      <c r="C117" s="297"/>
      <c r="D117" s="550"/>
      <c r="E117" s="129"/>
      <c r="F117" s="168" t="s">
        <v>341</v>
      </c>
      <c r="G117" s="29" t="s">
        <v>331</v>
      </c>
      <c r="H117" s="565"/>
      <c r="I117" s="562"/>
      <c r="J117" s="125">
        <f t="shared" ref="J117:J118" si="48">K117-K117*$K$3</f>
        <v>2849.07</v>
      </c>
      <c r="K117" s="36">
        <f t="shared" si="38"/>
        <v>2849.07</v>
      </c>
      <c r="L117" s="28"/>
      <c r="M117" s="28"/>
      <c r="N117" s="163">
        <v>2849.07</v>
      </c>
      <c r="O117" s="36">
        <f t="shared" ref="O117:O118" si="49">N117*1.05</f>
        <v>2991.5235000000002</v>
      </c>
    </row>
    <row r="118" spans="2:15" s="31" customFormat="1" ht="20.100000000000001" customHeight="1" x14ac:dyDescent="0.25">
      <c r="B118" s="569"/>
      <c r="C118" s="298"/>
      <c r="D118" s="544"/>
      <c r="E118" s="129"/>
      <c r="F118" s="168" t="s">
        <v>342</v>
      </c>
      <c r="G118" s="29" t="s">
        <v>330</v>
      </c>
      <c r="H118" s="566"/>
      <c r="I118" s="563"/>
      <c r="J118" s="125">
        <f t="shared" si="48"/>
        <v>2849.07</v>
      </c>
      <c r="K118" s="36">
        <f t="shared" si="38"/>
        <v>2849.07</v>
      </c>
      <c r="L118" s="28"/>
      <c r="M118" s="28"/>
      <c r="N118" s="163">
        <v>2849.07</v>
      </c>
      <c r="O118" s="36">
        <f t="shared" si="49"/>
        <v>2991.5235000000002</v>
      </c>
    </row>
    <row r="119" spans="2:15" s="31" customFormat="1" ht="40.049999999999997" customHeight="1" x14ac:dyDescent="0.25">
      <c r="B119" s="128"/>
      <c r="C119" s="302"/>
      <c r="D119" s="124" t="s">
        <v>249</v>
      </c>
      <c r="E119" s="29" t="s">
        <v>51</v>
      </c>
      <c r="F119" s="168" t="s">
        <v>350</v>
      </c>
      <c r="G119" s="29" t="s">
        <v>227</v>
      </c>
      <c r="H119" s="130"/>
      <c r="I119" s="127" t="s">
        <v>31</v>
      </c>
      <c r="J119" s="125">
        <f>K119-K119*$K$3</f>
        <v>210.59</v>
      </c>
      <c r="K119" s="36">
        <f t="shared" si="38"/>
        <v>210.59</v>
      </c>
      <c r="L119" s="28"/>
      <c r="M119" s="28"/>
      <c r="N119" s="165">
        <v>210.59</v>
      </c>
      <c r="O119" s="36">
        <f t="shared" si="39"/>
        <v>221.11950000000002</v>
      </c>
    </row>
    <row r="120" spans="2:15" s="31" customFormat="1" ht="20.100000000000001" customHeight="1" x14ac:dyDescent="0.25">
      <c r="B120" s="567"/>
      <c r="C120" s="296"/>
      <c r="D120" s="543" t="s">
        <v>176</v>
      </c>
      <c r="E120" s="29"/>
      <c r="F120" s="168" t="s">
        <v>339</v>
      </c>
      <c r="G120" s="29" t="s">
        <v>227</v>
      </c>
      <c r="H120" s="564"/>
      <c r="I120" s="561"/>
      <c r="J120" s="125">
        <f t="shared" ref="J120:J122" si="50">K120-K120*$K$3</f>
        <v>414.16</v>
      </c>
      <c r="K120" s="36">
        <f t="shared" si="38"/>
        <v>414.16</v>
      </c>
      <c r="L120" s="28"/>
      <c r="M120" s="28"/>
      <c r="N120" s="172">
        <v>414.16</v>
      </c>
      <c r="O120" s="36">
        <f t="shared" si="39"/>
        <v>434.86800000000005</v>
      </c>
    </row>
    <row r="121" spans="2:15" s="31" customFormat="1" ht="20.100000000000001" customHeight="1" x14ac:dyDescent="0.25">
      <c r="B121" s="568"/>
      <c r="C121" s="297"/>
      <c r="D121" s="550"/>
      <c r="E121" s="29"/>
      <c r="F121" s="168" t="s">
        <v>395</v>
      </c>
      <c r="G121" s="29" t="s">
        <v>132</v>
      </c>
      <c r="H121" s="565"/>
      <c r="I121" s="562"/>
      <c r="J121" s="125">
        <f t="shared" si="50"/>
        <v>414.16</v>
      </c>
      <c r="K121" s="36">
        <f t="shared" si="38"/>
        <v>414.16</v>
      </c>
      <c r="L121" s="28"/>
      <c r="M121" s="28"/>
      <c r="N121" s="172">
        <v>414.16</v>
      </c>
      <c r="O121" s="36">
        <f t="shared" si="39"/>
        <v>434.86800000000005</v>
      </c>
    </row>
    <row r="122" spans="2:15" s="31" customFormat="1" ht="20.100000000000001" customHeight="1" x14ac:dyDescent="0.25">
      <c r="B122" s="569"/>
      <c r="C122" s="298"/>
      <c r="D122" s="544"/>
      <c r="E122" s="29"/>
      <c r="F122" s="168" t="s">
        <v>394</v>
      </c>
      <c r="G122" s="29" t="s">
        <v>137</v>
      </c>
      <c r="H122" s="566"/>
      <c r="I122" s="563"/>
      <c r="J122" s="125">
        <f t="shared" si="50"/>
        <v>414.16</v>
      </c>
      <c r="K122" s="36">
        <f t="shared" si="38"/>
        <v>414.16</v>
      </c>
      <c r="L122" s="28"/>
      <c r="M122" s="28"/>
      <c r="N122" s="172">
        <v>414.16</v>
      </c>
      <c r="O122" s="36">
        <f t="shared" si="39"/>
        <v>434.86800000000005</v>
      </c>
    </row>
    <row r="123" spans="2:15" s="19" customFormat="1" ht="20.100000000000001" customHeight="1" x14ac:dyDescent="0.25">
      <c r="B123" s="546"/>
      <c r="C123" s="123"/>
      <c r="D123" s="556" t="s">
        <v>52</v>
      </c>
      <c r="E123" s="555" t="s">
        <v>47</v>
      </c>
      <c r="F123" s="168" t="s">
        <v>351</v>
      </c>
      <c r="G123" s="29" t="s">
        <v>227</v>
      </c>
      <c r="H123" s="545"/>
      <c r="I123" s="560" t="s">
        <v>48</v>
      </c>
      <c r="J123" s="125">
        <f>K123-K123*$K$3</f>
        <v>815.4</v>
      </c>
      <c r="K123" s="36">
        <f t="shared" si="38"/>
        <v>815.4</v>
      </c>
      <c r="L123" s="28"/>
      <c r="M123" s="28"/>
      <c r="N123" s="171">
        <v>815.4</v>
      </c>
      <c r="O123" s="126">
        <f t="shared" ref="O123:O163" si="51">N123*1.05</f>
        <v>856.17</v>
      </c>
    </row>
    <row r="124" spans="2:15" s="19" customFormat="1" ht="20.100000000000001" customHeight="1" x14ac:dyDescent="0.25">
      <c r="B124" s="546"/>
      <c r="C124" s="123"/>
      <c r="D124" s="556"/>
      <c r="E124" s="555"/>
      <c r="F124" s="168" t="s">
        <v>393</v>
      </c>
      <c r="G124" s="29" t="s">
        <v>132</v>
      </c>
      <c r="H124" s="545"/>
      <c r="I124" s="560"/>
      <c r="J124" s="125">
        <f t="shared" ref="J124:J125" si="52">K124-K124*$K$3</f>
        <v>815.4</v>
      </c>
      <c r="K124" s="36">
        <f t="shared" si="38"/>
        <v>815.4</v>
      </c>
      <c r="L124" s="28"/>
      <c r="M124" s="28"/>
      <c r="N124" s="171">
        <v>815.4</v>
      </c>
      <c r="O124" s="126">
        <f t="shared" ref="O124:O125" si="53">N124*1.05</f>
        <v>856.17</v>
      </c>
    </row>
    <row r="125" spans="2:15" s="19" customFormat="1" ht="20.100000000000001" customHeight="1" x14ac:dyDescent="0.25">
      <c r="B125" s="546"/>
      <c r="C125" s="123"/>
      <c r="D125" s="556"/>
      <c r="E125" s="555"/>
      <c r="F125" s="168" t="s">
        <v>383</v>
      </c>
      <c r="G125" s="29" t="s">
        <v>137</v>
      </c>
      <c r="H125" s="545"/>
      <c r="I125" s="560"/>
      <c r="J125" s="125">
        <f t="shared" si="52"/>
        <v>815.4</v>
      </c>
      <c r="K125" s="36">
        <f t="shared" si="38"/>
        <v>815.4</v>
      </c>
      <c r="L125" s="28"/>
      <c r="M125" s="28"/>
      <c r="N125" s="171">
        <v>815.4</v>
      </c>
      <c r="O125" s="126">
        <f t="shared" si="53"/>
        <v>856.17</v>
      </c>
    </row>
    <row r="126" spans="2:15" s="19" customFormat="1" ht="20.100000000000001" customHeight="1" x14ac:dyDescent="0.25">
      <c r="B126" s="541"/>
      <c r="C126" s="299"/>
      <c r="D126" s="543" t="s">
        <v>230</v>
      </c>
      <c r="E126" s="29" t="s">
        <v>47</v>
      </c>
      <c r="F126" s="168" t="s">
        <v>348</v>
      </c>
      <c r="G126" s="29" t="s">
        <v>227</v>
      </c>
      <c r="H126" s="551"/>
      <c r="I126" s="561" t="s">
        <v>48</v>
      </c>
      <c r="J126" s="125">
        <f t="shared" ref="J126" si="54">K126-K126*$K$3</f>
        <v>2535.88</v>
      </c>
      <c r="K126" s="36">
        <f t="shared" si="38"/>
        <v>2535.88</v>
      </c>
      <c r="L126" s="28"/>
      <c r="M126" s="28"/>
      <c r="N126" s="164">
        <v>2535.88</v>
      </c>
      <c r="O126" s="36">
        <f t="shared" si="51"/>
        <v>2662.6740000000004</v>
      </c>
    </row>
    <row r="127" spans="2:15" s="19" customFormat="1" ht="20.100000000000001" customHeight="1" x14ac:dyDescent="0.25">
      <c r="B127" s="554"/>
      <c r="C127" s="300"/>
      <c r="D127" s="550"/>
      <c r="E127" s="29"/>
      <c r="F127" s="168" t="s">
        <v>346</v>
      </c>
      <c r="G127" s="29" t="s">
        <v>137</v>
      </c>
      <c r="H127" s="552"/>
      <c r="I127" s="562"/>
      <c r="J127" s="125">
        <f t="shared" ref="J127:J129" si="55">K127-K127*$K$3</f>
        <v>2535.88</v>
      </c>
      <c r="K127" s="36">
        <f t="shared" si="38"/>
        <v>2535.88</v>
      </c>
      <c r="L127" s="28"/>
      <c r="M127" s="28"/>
      <c r="N127" s="164">
        <v>2535.88</v>
      </c>
      <c r="O127" s="36">
        <f t="shared" ref="O127:O129" si="56">N127*1.05</f>
        <v>2662.6740000000004</v>
      </c>
    </row>
    <row r="128" spans="2:15" s="19" customFormat="1" ht="20.100000000000001" customHeight="1" x14ac:dyDescent="0.25">
      <c r="B128" s="554"/>
      <c r="C128" s="300"/>
      <c r="D128" s="550"/>
      <c r="E128" s="29"/>
      <c r="F128" s="168" t="s">
        <v>347</v>
      </c>
      <c r="G128" s="29" t="s">
        <v>329</v>
      </c>
      <c r="H128" s="552"/>
      <c r="I128" s="562"/>
      <c r="J128" s="125">
        <f t="shared" si="55"/>
        <v>2535.88</v>
      </c>
      <c r="K128" s="36">
        <f t="shared" si="38"/>
        <v>2535.88</v>
      </c>
      <c r="L128" s="28"/>
      <c r="M128" s="28"/>
      <c r="N128" s="164">
        <v>2535.88</v>
      </c>
      <c r="O128" s="36">
        <f t="shared" si="56"/>
        <v>2662.6740000000004</v>
      </c>
    </row>
    <row r="129" spans="2:15" s="19" customFormat="1" ht="20.100000000000001" customHeight="1" x14ac:dyDescent="0.25">
      <c r="B129" s="542"/>
      <c r="C129" s="301"/>
      <c r="D129" s="544"/>
      <c r="E129" s="29"/>
      <c r="F129" s="168" t="s">
        <v>349</v>
      </c>
      <c r="G129" s="29" t="s">
        <v>132</v>
      </c>
      <c r="H129" s="553"/>
      <c r="I129" s="563"/>
      <c r="J129" s="125">
        <f t="shared" si="55"/>
        <v>2535.88</v>
      </c>
      <c r="K129" s="36">
        <f t="shared" si="38"/>
        <v>2535.88</v>
      </c>
      <c r="L129" s="28"/>
      <c r="M129" s="28"/>
      <c r="N129" s="164">
        <v>2535.88</v>
      </c>
      <c r="O129" s="36">
        <f t="shared" si="56"/>
        <v>2662.6740000000004</v>
      </c>
    </row>
    <row r="130" spans="2:15" s="19" customFormat="1" ht="40.049999999999997" customHeight="1" x14ac:dyDescent="0.25">
      <c r="B130" s="123"/>
      <c r="C130" s="123" t="s">
        <v>22</v>
      </c>
      <c r="D130" s="124" t="s">
        <v>22</v>
      </c>
      <c r="E130" s="29" t="s">
        <v>53</v>
      </c>
      <c r="F130" s="168" t="s">
        <v>352</v>
      </c>
      <c r="G130" s="29" t="s">
        <v>227</v>
      </c>
      <c r="H130" s="122"/>
      <c r="I130" s="127" t="s">
        <v>48</v>
      </c>
      <c r="J130" s="125">
        <f t="shared" ref="J130:J163" si="57">K130-K130*$K$3</f>
        <v>4368.13</v>
      </c>
      <c r="K130" s="36">
        <f t="shared" si="38"/>
        <v>4368.13</v>
      </c>
      <c r="L130" s="28"/>
      <c r="M130" s="28"/>
      <c r="N130" s="163">
        <v>4368.13</v>
      </c>
      <c r="O130" s="36">
        <f t="shared" si="51"/>
        <v>4586.5365000000002</v>
      </c>
    </row>
    <row r="131" spans="2:15" s="19" customFormat="1" ht="40.049999999999997" customHeight="1" x14ac:dyDescent="0.25">
      <c r="B131" s="123"/>
      <c r="C131" s="123"/>
      <c r="D131" s="124" t="s">
        <v>244</v>
      </c>
      <c r="E131" s="29" t="s">
        <v>53</v>
      </c>
      <c r="F131" s="168" t="s">
        <v>380</v>
      </c>
      <c r="G131" s="29" t="s">
        <v>227</v>
      </c>
      <c r="H131" s="122"/>
      <c r="I131" s="127" t="s">
        <v>48</v>
      </c>
      <c r="J131" s="125">
        <f t="shared" si="57"/>
        <v>4308.78</v>
      </c>
      <c r="K131" s="36">
        <f t="shared" si="38"/>
        <v>4308.78</v>
      </c>
      <c r="L131" s="28"/>
      <c r="M131" s="28"/>
      <c r="N131" s="163">
        <v>4308.78</v>
      </c>
      <c r="O131" s="36">
        <f t="shared" si="51"/>
        <v>4524.2190000000001</v>
      </c>
    </row>
    <row r="132" spans="2:15" s="19" customFormat="1" ht="40.049999999999997" customHeight="1" x14ac:dyDescent="0.3">
      <c r="B132" s="131"/>
      <c r="C132" s="131"/>
      <c r="D132" s="124" t="s">
        <v>248</v>
      </c>
      <c r="E132" s="29" t="s">
        <v>242</v>
      </c>
      <c r="F132" s="168" t="s">
        <v>379</v>
      </c>
      <c r="G132" s="29" t="s">
        <v>227</v>
      </c>
      <c r="H132" s="35"/>
      <c r="I132" s="129" t="s">
        <v>48</v>
      </c>
      <c r="J132" s="36">
        <f t="shared" ref="J132" si="58">K132-K132*$K$3</f>
        <v>1774.19</v>
      </c>
      <c r="K132" s="162">
        <f t="shared" si="38"/>
        <v>1774.19</v>
      </c>
      <c r="L132" s="28"/>
      <c r="M132" s="28"/>
      <c r="N132" s="163">
        <v>1774.19</v>
      </c>
      <c r="O132" s="162">
        <f t="shared" ref="O132" si="59">N132*1.05</f>
        <v>1862.8995000000002</v>
      </c>
    </row>
    <row r="133" spans="2:15" s="19" customFormat="1" ht="39.9" customHeight="1" x14ac:dyDescent="0.25">
      <c r="B133" s="123"/>
      <c r="C133" s="123"/>
      <c r="D133" s="124" t="s">
        <v>54</v>
      </c>
      <c r="E133" s="29" t="s">
        <v>55</v>
      </c>
      <c r="F133" s="168" t="s">
        <v>353</v>
      </c>
      <c r="G133" s="29" t="s">
        <v>227</v>
      </c>
      <c r="H133" s="122"/>
      <c r="I133" s="127" t="s">
        <v>48</v>
      </c>
      <c r="J133" s="125">
        <f t="shared" si="57"/>
        <v>3471.2</v>
      </c>
      <c r="K133" s="36">
        <f t="shared" ref="K133:K164" si="60">IF($K$2=$N$2,N133,O133)</f>
        <v>3471.2</v>
      </c>
      <c r="L133" s="28"/>
      <c r="M133" s="28"/>
      <c r="N133" s="163">
        <v>3471.2</v>
      </c>
      <c r="O133" s="36">
        <f t="shared" si="51"/>
        <v>3644.7599999999998</v>
      </c>
    </row>
    <row r="134" spans="2:15" s="19" customFormat="1" ht="20.100000000000001" customHeight="1" x14ac:dyDescent="0.25">
      <c r="B134" s="546"/>
      <c r="C134" s="123"/>
      <c r="D134" s="556" t="s">
        <v>56</v>
      </c>
      <c r="E134" s="555"/>
      <c r="F134" s="168" t="s">
        <v>354</v>
      </c>
      <c r="G134" s="29" t="s">
        <v>57</v>
      </c>
      <c r="H134" s="545"/>
      <c r="I134" s="560" t="s">
        <v>31</v>
      </c>
      <c r="J134" s="125">
        <f t="shared" si="57"/>
        <v>14.06</v>
      </c>
      <c r="K134" s="36">
        <f t="shared" si="60"/>
        <v>14.06</v>
      </c>
      <c r="L134" s="28"/>
      <c r="M134" s="28"/>
      <c r="N134" s="171">
        <v>14.06</v>
      </c>
      <c r="O134" s="126">
        <f t="shared" si="51"/>
        <v>14.763000000000002</v>
      </c>
    </row>
    <row r="135" spans="2:15" s="19" customFormat="1" ht="20.100000000000001" customHeight="1" x14ac:dyDescent="0.25">
      <c r="B135" s="546"/>
      <c r="C135" s="123"/>
      <c r="D135" s="556"/>
      <c r="E135" s="555"/>
      <c r="F135" s="168" t="s">
        <v>355</v>
      </c>
      <c r="G135" s="29" t="s">
        <v>49</v>
      </c>
      <c r="H135" s="545"/>
      <c r="I135" s="560"/>
      <c r="J135" s="125">
        <f t="shared" ref="J135:J137" si="61">K135-K135*$K$3</f>
        <v>14.06</v>
      </c>
      <c r="K135" s="36">
        <f t="shared" si="60"/>
        <v>14.06</v>
      </c>
      <c r="L135" s="28"/>
      <c r="M135" s="28"/>
      <c r="N135" s="171">
        <v>14.06</v>
      </c>
      <c r="O135" s="126">
        <f t="shared" ref="O135:O137" si="62">N135*1.05</f>
        <v>14.763000000000002</v>
      </c>
    </row>
    <row r="136" spans="2:15" s="19" customFormat="1" ht="20.100000000000001" customHeight="1" x14ac:dyDescent="0.25">
      <c r="B136" s="546"/>
      <c r="C136" s="123"/>
      <c r="D136" s="556"/>
      <c r="E136" s="555"/>
      <c r="F136" s="168" t="s">
        <v>384</v>
      </c>
      <c r="G136" s="29" t="s">
        <v>328</v>
      </c>
      <c r="H136" s="545"/>
      <c r="I136" s="560"/>
      <c r="J136" s="125">
        <f t="shared" ref="J136" si="63">K136-K136*$K$3</f>
        <v>14.06</v>
      </c>
      <c r="K136" s="36">
        <f t="shared" si="60"/>
        <v>14.06</v>
      </c>
      <c r="L136" s="28"/>
      <c r="M136" s="28"/>
      <c r="N136" s="171">
        <v>14.06</v>
      </c>
      <c r="O136" s="126">
        <f t="shared" ref="O136" si="64">N136*1.05</f>
        <v>14.763000000000002</v>
      </c>
    </row>
    <row r="137" spans="2:15" s="19" customFormat="1" ht="20.100000000000001" customHeight="1" x14ac:dyDescent="0.25">
      <c r="B137" s="546"/>
      <c r="C137" s="123"/>
      <c r="D137" s="556"/>
      <c r="E137" s="555"/>
      <c r="F137" s="168" t="s">
        <v>396</v>
      </c>
      <c r="G137" s="29" t="s">
        <v>132</v>
      </c>
      <c r="H137" s="545"/>
      <c r="I137" s="560"/>
      <c r="J137" s="125">
        <f t="shared" si="61"/>
        <v>14.06</v>
      </c>
      <c r="K137" s="36">
        <f t="shared" si="60"/>
        <v>14.06</v>
      </c>
      <c r="L137" s="28"/>
      <c r="M137" s="28"/>
      <c r="N137" s="171">
        <v>14.06</v>
      </c>
      <c r="O137" s="126">
        <f t="shared" si="62"/>
        <v>14.763000000000002</v>
      </c>
    </row>
    <row r="138" spans="2:15" s="19" customFormat="1" ht="40.049999999999997" customHeight="1" x14ac:dyDescent="0.25">
      <c r="B138" s="123"/>
      <c r="C138" s="123"/>
      <c r="D138" s="124" t="s">
        <v>58</v>
      </c>
      <c r="E138" s="29" t="s">
        <v>59</v>
      </c>
      <c r="F138" s="168" t="s">
        <v>356</v>
      </c>
      <c r="G138" s="29" t="s">
        <v>227</v>
      </c>
      <c r="H138" s="122"/>
      <c r="I138" s="127" t="s">
        <v>31</v>
      </c>
      <c r="J138" s="125">
        <f t="shared" si="57"/>
        <v>716</v>
      </c>
      <c r="K138" s="36">
        <f t="shared" si="60"/>
        <v>716</v>
      </c>
      <c r="L138" s="28"/>
      <c r="M138" s="28"/>
      <c r="N138" s="165">
        <v>716</v>
      </c>
      <c r="O138" s="36">
        <f t="shared" si="51"/>
        <v>751.80000000000007</v>
      </c>
    </row>
    <row r="139" spans="2:15" s="19" customFormat="1" ht="20.100000000000001" customHeight="1" x14ac:dyDescent="0.25">
      <c r="B139" s="546"/>
      <c r="C139" s="123"/>
      <c r="D139" s="556" t="s">
        <v>141</v>
      </c>
      <c r="E139" s="555" t="s">
        <v>59</v>
      </c>
      <c r="F139" s="168" t="s">
        <v>357</v>
      </c>
      <c r="G139" s="29" t="s">
        <v>227</v>
      </c>
      <c r="H139" s="545"/>
      <c r="I139" s="560" t="s">
        <v>31</v>
      </c>
      <c r="J139" s="125">
        <f t="shared" si="57"/>
        <v>487.37</v>
      </c>
      <c r="K139" s="36">
        <f t="shared" si="60"/>
        <v>487.37</v>
      </c>
      <c r="L139" s="28"/>
      <c r="M139" s="28"/>
      <c r="N139" s="171">
        <v>487.37</v>
      </c>
      <c r="O139" s="126">
        <f t="shared" si="51"/>
        <v>511.73850000000004</v>
      </c>
    </row>
    <row r="140" spans="2:15" s="19" customFormat="1" ht="20.100000000000001" customHeight="1" x14ac:dyDescent="0.25">
      <c r="B140" s="546"/>
      <c r="C140" s="123"/>
      <c r="D140" s="556"/>
      <c r="E140" s="555"/>
      <c r="F140" s="168" t="s">
        <v>397</v>
      </c>
      <c r="G140" s="29" t="s">
        <v>132</v>
      </c>
      <c r="H140" s="545"/>
      <c r="I140" s="560"/>
      <c r="J140" s="125">
        <f t="shared" ref="J140:J144" si="65">K140-K140*$K$3</f>
        <v>487.37</v>
      </c>
      <c r="K140" s="36">
        <f t="shared" si="60"/>
        <v>487.37</v>
      </c>
      <c r="L140" s="28"/>
      <c r="M140" s="28"/>
      <c r="N140" s="171">
        <v>487.37</v>
      </c>
      <c r="O140" s="126">
        <f t="shared" ref="O140:O144" si="66">N140*1.05</f>
        <v>511.73850000000004</v>
      </c>
    </row>
    <row r="141" spans="2:15" s="19" customFormat="1" ht="20.100000000000001" customHeight="1" x14ac:dyDescent="0.25">
      <c r="B141" s="546"/>
      <c r="C141" s="123"/>
      <c r="D141" s="556"/>
      <c r="E141" s="555"/>
      <c r="F141" s="168" t="s">
        <v>385</v>
      </c>
      <c r="G141" s="29" t="s">
        <v>137</v>
      </c>
      <c r="H141" s="545"/>
      <c r="I141" s="560"/>
      <c r="J141" s="125">
        <f t="shared" si="65"/>
        <v>487.37</v>
      </c>
      <c r="K141" s="36">
        <f t="shared" si="60"/>
        <v>487.37</v>
      </c>
      <c r="L141" s="28"/>
      <c r="M141" s="28"/>
      <c r="N141" s="171">
        <v>487.37</v>
      </c>
      <c r="O141" s="126">
        <f t="shared" si="66"/>
        <v>511.73850000000004</v>
      </c>
    </row>
    <row r="142" spans="2:15" s="19" customFormat="1" ht="20.100000000000001" customHeight="1" x14ac:dyDescent="0.25">
      <c r="B142" s="546"/>
      <c r="C142" s="123"/>
      <c r="D142" s="556" t="s">
        <v>142</v>
      </c>
      <c r="E142" s="555"/>
      <c r="F142" s="168" t="s">
        <v>358</v>
      </c>
      <c r="G142" s="29" t="s">
        <v>227</v>
      </c>
      <c r="H142" s="545"/>
      <c r="I142" s="560"/>
      <c r="J142" s="125">
        <f t="shared" si="65"/>
        <v>487.37</v>
      </c>
      <c r="K142" s="36">
        <f t="shared" si="60"/>
        <v>487.37</v>
      </c>
      <c r="L142" s="28"/>
      <c r="M142" s="28"/>
      <c r="N142" s="171">
        <v>487.37</v>
      </c>
      <c r="O142" s="126">
        <f t="shared" si="66"/>
        <v>511.73850000000004</v>
      </c>
    </row>
    <row r="143" spans="2:15" s="19" customFormat="1" ht="20.100000000000001" customHeight="1" x14ac:dyDescent="0.25">
      <c r="B143" s="546"/>
      <c r="C143" s="123"/>
      <c r="D143" s="556"/>
      <c r="E143" s="555"/>
      <c r="F143" s="168" t="s">
        <v>398</v>
      </c>
      <c r="G143" s="29" t="s">
        <v>132</v>
      </c>
      <c r="H143" s="545"/>
      <c r="I143" s="560"/>
      <c r="J143" s="125">
        <f t="shared" si="65"/>
        <v>487.37</v>
      </c>
      <c r="K143" s="36">
        <f t="shared" si="60"/>
        <v>487.37</v>
      </c>
      <c r="L143" s="28"/>
      <c r="M143" s="28"/>
      <c r="N143" s="171">
        <v>487.37</v>
      </c>
      <c r="O143" s="126">
        <f t="shared" si="66"/>
        <v>511.73850000000004</v>
      </c>
    </row>
    <row r="144" spans="2:15" s="19" customFormat="1" ht="20.100000000000001" customHeight="1" x14ac:dyDescent="0.25">
      <c r="B144" s="546"/>
      <c r="C144" s="123"/>
      <c r="D144" s="556"/>
      <c r="E144" s="555"/>
      <c r="F144" s="168" t="s">
        <v>386</v>
      </c>
      <c r="G144" s="29" t="s">
        <v>137</v>
      </c>
      <c r="H144" s="545"/>
      <c r="I144" s="560"/>
      <c r="J144" s="125">
        <f t="shared" si="65"/>
        <v>487.37</v>
      </c>
      <c r="K144" s="36">
        <f t="shared" si="60"/>
        <v>487.37</v>
      </c>
      <c r="L144" s="28"/>
      <c r="M144" s="28"/>
      <c r="N144" s="171">
        <v>487.37</v>
      </c>
      <c r="O144" s="126">
        <f t="shared" si="66"/>
        <v>511.73850000000004</v>
      </c>
    </row>
    <row r="145" spans="1:15" s="19" customFormat="1" ht="20.100000000000001" customHeight="1" x14ac:dyDescent="0.25">
      <c r="B145" s="546"/>
      <c r="C145" s="123"/>
      <c r="D145" s="556" t="s">
        <v>60</v>
      </c>
      <c r="E145" s="555" t="s">
        <v>59</v>
      </c>
      <c r="F145" s="168" t="s">
        <v>359</v>
      </c>
      <c r="G145" s="29" t="s">
        <v>227</v>
      </c>
      <c r="H145" s="545"/>
      <c r="I145" s="560" t="s">
        <v>31</v>
      </c>
      <c r="J145" s="125">
        <f t="shared" si="57"/>
        <v>565.6</v>
      </c>
      <c r="K145" s="36">
        <f t="shared" si="60"/>
        <v>565.6</v>
      </c>
      <c r="L145" s="28"/>
      <c r="M145" s="28"/>
      <c r="N145" s="171">
        <v>565.6</v>
      </c>
      <c r="O145" s="126">
        <f t="shared" si="51"/>
        <v>593.88</v>
      </c>
    </row>
    <row r="146" spans="1:15" s="19" customFormat="1" ht="20.100000000000001" customHeight="1" x14ac:dyDescent="0.25">
      <c r="B146" s="546"/>
      <c r="C146" s="123"/>
      <c r="D146" s="556"/>
      <c r="E146" s="555"/>
      <c r="F146" s="168" t="s">
        <v>399</v>
      </c>
      <c r="G146" s="29" t="s">
        <v>132</v>
      </c>
      <c r="H146" s="545"/>
      <c r="I146" s="560"/>
      <c r="J146" s="125">
        <f t="shared" ref="J146:J147" si="67">K146-K146*$K$3</f>
        <v>565.6</v>
      </c>
      <c r="K146" s="36">
        <f t="shared" si="60"/>
        <v>565.6</v>
      </c>
      <c r="L146" s="28"/>
      <c r="M146" s="28"/>
      <c r="N146" s="171">
        <v>565.6</v>
      </c>
      <c r="O146" s="126">
        <f t="shared" ref="O146:O147" si="68">N146*1.05</f>
        <v>593.88</v>
      </c>
    </row>
    <row r="147" spans="1:15" s="19" customFormat="1" ht="20.100000000000001" customHeight="1" x14ac:dyDescent="0.25">
      <c r="B147" s="546"/>
      <c r="C147" s="123"/>
      <c r="D147" s="556"/>
      <c r="E147" s="555"/>
      <c r="F147" s="168" t="s">
        <v>387</v>
      </c>
      <c r="G147" s="29" t="s">
        <v>137</v>
      </c>
      <c r="H147" s="545"/>
      <c r="I147" s="560"/>
      <c r="J147" s="125">
        <f t="shared" si="67"/>
        <v>565.6</v>
      </c>
      <c r="K147" s="36">
        <f t="shared" si="60"/>
        <v>565.6</v>
      </c>
      <c r="L147" s="28"/>
      <c r="M147" s="28"/>
      <c r="N147" s="171">
        <v>565.6</v>
      </c>
      <c r="O147" s="126">
        <f t="shared" si="68"/>
        <v>593.88</v>
      </c>
    </row>
    <row r="148" spans="1:15" s="19" customFormat="1" ht="40.049999999999997" customHeight="1" x14ac:dyDescent="0.25">
      <c r="A148" s="32"/>
      <c r="B148" s="132"/>
      <c r="C148" s="124"/>
      <c r="D148" s="124" t="s">
        <v>61</v>
      </c>
      <c r="E148" s="129" t="s">
        <v>41</v>
      </c>
      <c r="F148" s="168" t="s">
        <v>360</v>
      </c>
      <c r="G148" s="29" t="s">
        <v>227</v>
      </c>
      <c r="H148" s="133"/>
      <c r="I148" s="129" t="s">
        <v>31</v>
      </c>
      <c r="J148" s="125">
        <f t="shared" si="57"/>
        <v>52.65</v>
      </c>
      <c r="K148" s="36">
        <f t="shared" si="60"/>
        <v>52.65</v>
      </c>
      <c r="L148" s="28"/>
      <c r="M148" s="28"/>
      <c r="N148" s="166">
        <v>52.65</v>
      </c>
      <c r="O148" s="36">
        <f t="shared" si="51"/>
        <v>55.282499999999999</v>
      </c>
    </row>
    <row r="149" spans="1:15" s="19" customFormat="1" ht="40.049999999999997" customHeight="1" x14ac:dyDescent="0.25">
      <c r="B149" s="123"/>
      <c r="C149" s="123"/>
      <c r="D149" s="124" t="s">
        <v>62</v>
      </c>
      <c r="E149" s="29" t="s">
        <v>41</v>
      </c>
      <c r="F149" s="168" t="s">
        <v>361</v>
      </c>
      <c r="G149" s="29" t="s">
        <v>227</v>
      </c>
      <c r="H149" s="122"/>
      <c r="I149" s="127" t="s">
        <v>31</v>
      </c>
      <c r="J149" s="125">
        <f t="shared" si="57"/>
        <v>60.56</v>
      </c>
      <c r="K149" s="36">
        <f t="shared" si="60"/>
        <v>60.56</v>
      </c>
      <c r="L149" s="28"/>
      <c r="M149" s="28"/>
      <c r="N149" s="165">
        <v>60.56</v>
      </c>
      <c r="O149" s="36">
        <f t="shared" si="51"/>
        <v>63.588000000000008</v>
      </c>
    </row>
    <row r="150" spans="1:15" s="19" customFormat="1" ht="40.049999999999997" customHeight="1" x14ac:dyDescent="0.25">
      <c r="A150" s="32"/>
      <c r="B150" s="132"/>
      <c r="C150" s="124"/>
      <c r="D150" s="124" t="s">
        <v>63</v>
      </c>
      <c r="E150" s="129" t="s">
        <v>41</v>
      </c>
      <c r="F150" s="168" t="s">
        <v>362</v>
      </c>
      <c r="G150" s="29" t="s">
        <v>227</v>
      </c>
      <c r="H150" s="133"/>
      <c r="I150" s="129" t="s">
        <v>31</v>
      </c>
      <c r="J150" s="125">
        <f t="shared" si="57"/>
        <v>311.57</v>
      </c>
      <c r="K150" s="36">
        <f t="shared" si="60"/>
        <v>311.57</v>
      </c>
      <c r="L150" s="28"/>
      <c r="M150" s="28"/>
      <c r="N150" s="165">
        <v>311.57</v>
      </c>
      <c r="O150" s="36">
        <f t="shared" si="51"/>
        <v>327.14850000000001</v>
      </c>
    </row>
    <row r="151" spans="1:15" s="19" customFormat="1" ht="40.049999999999997" customHeight="1" x14ac:dyDescent="0.25">
      <c r="A151" s="32" t="s">
        <v>64</v>
      </c>
      <c r="B151" s="132"/>
      <c r="C151" s="29" t="s">
        <v>160</v>
      </c>
      <c r="D151" s="124" t="s">
        <v>65</v>
      </c>
      <c r="E151" s="129" t="s">
        <v>53</v>
      </c>
      <c r="F151" s="168" t="s">
        <v>365</v>
      </c>
      <c r="G151" s="29" t="s">
        <v>227</v>
      </c>
      <c r="H151" s="133"/>
      <c r="I151" s="129" t="s">
        <v>48</v>
      </c>
      <c r="J151" s="125">
        <f t="shared" si="57"/>
        <v>3290.67</v>
      </c>
      <c r="K151" s="36">
        <f t="shared" si="60"/>
        <v>3290.67</v>
      </c>
      <c r="L151" s="28"/>
      <c r="M151" s="28"/>
      <c r="N151" s="163">
        <v>3290.67</v>
      </c>
      <c r="O151" s="36">
        <f t="shared" si="51"/>
        <v>3455.2035000000001</v>
      </c>
    </row>
    <row r="152" spans="1:15" s="19" customFormat="1" ht="40.049999999999997" customHeight="1" x14ac:dyDescent="0.25">
      <c r="B152" s="123"/>
      <c r="C152" s="123"/>
      <c r="D152" s="124" t="s">
        <v>66</v>
      </c>
      <c r="E152" s="29" t="s">
        <v>59</v>
      </c>
      <c r="F152" s="168" t="s">
        <v>363</v>
      </c>
      <c r="G152" s="29" t="s">
        <v>227</v>
      </c>
      <c r="H152" s="122"/>
      <c r="I152" s="127" t="s">
        <v>31</v>
      </c>
      <c r="J152" s="125">
        <f t="shared" si="57"/>
        <v>748.1</v>
      </c>
      <c r="K152" s="36">
        <f t="shared" si="60"/>
        <v>748.1</v>
      </c>
      <c r="L152" s="28"/>
      <c r="M152" s="28"/>
      <c r="N152" s="165">
        <v>748.1</v>
      </c>
      <c r="O152" s="36">
        <f t="shared" si="51"/>
        <v>785.50500000000011</v>
      </c>
    </row>
    <row r="153" spans="1:15" s="19" customFormat="1" ht="40.049999999999997" customHeight="1" x14ac:dyDescent="0.25">
      <c r="A153" s="32"/>
      <c r="B153" s="132"/>
      <c r="C153" s="124" t="s">
        <v>67</v>
      </c>
      <c r="D153" s="124" t="s">
        <v>67</v>
      </c>
      <c r="E153" s="129" t="s">
        <v>45</v>
      </c>
      <c r="F153" s="168" t="s">
        <v>364</v>
      </c>
      <c r="G153" s="29" t="s">
        <v>227</v>
      </c>
      <c r="H153" s="29"/>
      <c r="I153" s="129" t="s">
        <v>48</v>
      </c>
      <c r="J153" s="125">
        <f t="shared" si="57"/>
        <v>189.27</v>
      </c>
      <c r="K153" s="36">
        <f t="shared" si="60"/>
        <v>189.27</v>
      </c>
      <c r="L153" s="28"/>
      <c r="M153" s="28"/>
      <c r="N153" s="165">
        <v>189.27</v>
      </c>
      <c r="O153" s="36">
        <f t="shared" si="51"/>
        <v>198.73350000000002</v>
      </c>
    </row>
    <row r="154" spans="1:15" s="19" customFormat="1" ht="20.100000000000001" customHeight="1" x14ac:dyDescent="0.25">
      <c r="B154" s="546"/>
      <c r="C154" s="123"/>
      <c r="D154" s="556" t="s">
        <v>68</v>
      </c>
      <c r="E154" s="555" t="s">
        <v>36</v>
      </c>
      <c r="F154" s="129" t="s">
        <v>366</v>
      </c>
      <c r="G154" s="29" t="s">
        <v>227</v>
      </c>
      <c r="H154" s="545"/>
      <c r="I154" s="560" t="s">
        <v>31</v>
      </c>
      <c r="J154" s="125">
        <f t="shared" si="57"/>
        <v>751.74</v>
      </c>
      <c r="K154" s="36">
        <f t="shared" si="60"/>
        <v>751.74</v>
      </c>
      <c r="L154" s="28"/>
      <c r="M154" s="28"/>
      <c r="N154" s="171">
        <v>751.74</v>
      </c>
      <c r="O154" s="126">
        <f t="shared" si="51"/>
        <v>789.327</v>
      </c>
    </row>
    <row r="155" spans="1:15" s="19" customFormat="1" ht="20.100000000000001" customHeight="1" x14ac:dyDescent="0.25">
      <c r="B155" s="546"/>
      <c r="C155" s="123"/>
      <c r="D155" s="556"/>
      <c r="E155" s="555"/>
      <c r="F155" s="168" t="s">
        <v>400</v>
      </c>
      <c r="G155" s="29" t="s">
        <v>132</v>
      </c>
      <c r="H155" s="545"/>
      <c r="I155" s="560"/>
      <c r="J155" s="125">
        <f t="shared" ref="J155:J156" si="69">K155-K155*$K$3</f>
        <v>751.74</v>
      </c>
      <c r="K155" s="36">
        <f t="shared" si="60"/>
        <v>751.74</v>
      </c>
      <c r="L155" s="28"/>
      <c r="M155" s="28"/>
      <c r="N155" s="171">
        <v>751.74</v>
      </c>
      <c r="O155" s="126">
        <f t="shared" ref="O155:O156" si="70">N155*1.05</f>
        <v>789.327</v>
      </c>
    </row>
    <row r="156" spans="1:15" s="19" customFormat="1" ht="20.100000000000001" customHeight="1" x14ac:dyDescent="0.25">
      <c r="B156" s="546"/>
      <c r="C156" s="123"/>
      <c r="D156" s="556"/>
      <c r="E156" s="555"/>
      <c r="F156" s="168" t="s">
        <v>388</v>
      </c>
      <c r="G156" s="29" t="s">
        <v>137</v>
      </c>
      <c r="H156" s="545"/>
      <c r="I156" s="560"/>
      <c r="J156" s="125">
        <f t="shared" si="69"/>
        <v>751.74</v>
      </c>
      <c r="K156" s="36">
        <f t="shared" si="60"/>
        <v>751.74</v>
      </c>
      <c r="L156" s="28"/>
      <c r="M156" s="28"/>
      <c r="N156" s="171">
        <v>751.74</v>
      </c>
      <c r="O156" s="126">
        <f t="shared" si="70"/>
        <v>789.327</v>
      </c>
    </row>
    <row r="157" spans="1:15" s="19" customFormat="1" ht="40.049999999999997" customHeight="1" x14ac:dyDescent="0.25">
      <c r="B157" s="123"/>
      <c r="C157" s="123"/>
      <c r="D157" s="124" t="s">
        <v>69</v>
      </c>
      <c r="E157" s="29" t="s">
        <v>70</v>
      </c>
      <c r="F157" s="168" t="s">
        <v>367</v>
      </c>
      <c r="G157" s="29" t="s">
        <v>227</v>
      </c>
      <c r="H157" s="122"/>
      <c r="I157" s="127" t="s">
        <v>31</v>
      </c>
      <c r="J157" s="125">
        <f t="shared" si="57"/>
        <v>8.33</v>
      </c>
      <c r="K157" s="36">
        <f t="shared" si="60"/>
        <v>8.33</v>
      </c>
      <c r="L157" s="28"/>
      <c r="M157" s="28"/>
      <c r="N157" s="165">
        <v>8.33</v>
      </c>
      <c r="O157" s="36">
        <f t="shared" si="51"/>
        <v>8.7465000000000011</v>
      </c>
    </row>
    <row r="158" spans="1:15" s="33" customFormat="1" ht="40.049999999999997" customHeight="1" x14ac:dyDescent="0.25">
      <c r="B158" s="134"/>
      <c r="C158" s="134"/>
      <c r="D158" s="124" t="s">
        <v>71</v>
      </c>
      <c r="E158" s="129" t="s">
        <v>72</v>
      </c>
      <c r="F158" s="168" t="s">
        <v>370</v>
      </c>
      <c r="G158" s="29" t="s">
        <v>227</v>
      </c>
      <c r="H158" s="122"/>
      <c r="I158" s="127" t="s">
        <v>48</v>
      </c>
      <c r="J158" s="125">
        <f t="shared" si="57"/>
        <v>235.89</v>
      </c>
      <c r="K158" s="36">
        <f t="shared" si="60"/>
        <v>235.89</v>
      </c>
      <c r="L158" s="28"/>
      <c r="M158" s="28"/>
      <c r="N158" s="165">
        <v>235.89</v>
      </c>
      <c r="O158" s="36">
        <f t="shared" si="51"/>
        <v>247.68449999999999</v>
      </c>
    </row>
    <row r="159" spans="1:15" s="19" customFormat="1" ht="40.049999999999997" customHeight="1" x14ac:dyDescent="0.25">
      <c r="B159" s="123"/>
      <c r="C159" s="123" t="s">
        <v>73</v>
      </c>
      <c r="D159" s="124" t="s">
        <v>73</v>
      </c>
      <c r="E159" s="129" t="s">
        <v>143</v>
      </c>
      <c r="F159" s="168" t="s">
        <v>372</v>
      </c>
      <c r="G159" s="29"/>
      <c r="H159" s="122"/>
      <c r="I159" s="127" t="s">
        <v>48</v>
      </c>
      <c r="J159" s="125">
        <f t="shared" si="57"/>
        <v>592.29</v>
      </c>
      <c r="K159" s="36">
        <f t="shared" si="60"/>
        <v>592.29</v>
      </c>
      <c r="L159" s="28"/>
      <c r="M159" s="28"/>
      <c r="N159" s="165">
        <v>592.29</v>
      </c>
      <c r="O159" s="36">
        <f t="shared" si="51"/>
        <v>621.90449999999998</v>
      </c>
    </row>
    <row r="160" spans="1:15" s="19" customFormat="1" ht="40.049999999999997" customHeight="1" x14ac:dyDescent="0.25">
      <c r="B160" s="123"/>
      <c r="C160" s="123" t="s">
        <v>74</v>
      </c>
      <c r="D160" s="124" t="s">
        <v>74</v>
      </c>
      <c r="E160" s="129" t="s">
        <v>75</v>
      </c>
      <c r="F160" s="168" t="s">
        <v>371</v>
      </c>
      <c r="G160" s="29" t="s">
        <v>227</v>
      </c>
      <c r="H160" s="122"/>
      <c r="I160" s="127" t="s">
        <v>31</v>
      </c>
      <c r="J160" s="125">
        <f t="shared" si="57"/>
        <v>133.72</v>
      </c>
      <c r="K160" s="36">
        <f t="shared" si="60"/>
        <v>133.72</v>
      </c>
      <c r="L160" s="28"/>
      <c r="M160" s="28"/>
      <c r="N160" s="165">
        <v>133.72</v>
      </c>
      <c r="O160" s="36">
        <f t="shared" si="51"/>
        <v>140.40600000000001</v>
      </c>
    </row>
    <row r="161" spans="2:15" s="27" customFormat="1" ht="40.049999999999997" customHeight="1" x14ac:dyDescent="0.25">
      <c r="B161" s="131"/>
      <c r="C161" s="131"/>
      <c r="D161" s="124" t="s">
        <v>144</v>
      </c>
      <c r="E161" s="29" t="s">
        <v>36</v>
      </c>
      <c r="F161" s="168" t="s">
        <v>369</v>
      </c>
      <c r="G161" s="29" t="s">
        <v>227</v>
      </c>
      <c r="H161" s="34"/>
      <c r="I161" s="123" t="s">
        <v>31</v>
      </c>
      <c r="J161" s="125">
        <f t="shared" si="57"/>
        <v>140.43</v>
      </c>
      <c r="K161" s="36">
        <f t="shared" si="60"/>
        <v>140.43</v>
      </c>
      <c r="L161" s="28"/>
      <c r="M161" s="28"/>
      <c r="N161" s="165">
        <v>140.43</v>
      </c>
      <c r="O161" s="36">
        <f t="shared" si="51"/>
        <v>147.45150000000001</v>
      </c>
    </row>
    <row r="162" spans="2:15" s="27" customFormat="1" ht="40.049999999999997" customHeight="1" x14ac:dyDescent="0.25">
      <c r="B162" s="131"/>
      <c r="C162" s="131"/>
      <c r="D162" s="124" t="s">
        <v>145</v>
      </c>
      <c r="E162" s="29" t="s">
        <v>36</v>
      </c>
      <c r="F162" s="168" t="s">
        <v>368</v>
      </c>
      <c r="G162" s="29" t="s">
        <v>227</v>
      </c>
      <c r="H162" s="34"/>
      <c r="I162" s="123" t="s">
        <v>31</v>
      </c>
      <c r="J162" s="125">
        <f t="shared" si="57"/>
        <v>105.3</v>
      </c>
      <c r="K162" s="36">
        <f t="shared" si="60"/>
        <v>105.3</v>
      </c>
      <c r="L162" s="28"/>
      <c r="M162" s="28"/>
      <c r="N162" s="165">
        <v>105.3</v>
      </c>
      <c r="O162" s="36">
        <f t="shared" si="51"/>
        <v>110.565</v>
      </c>
    </row>
    <row r="163" spans="2:15" s="19" customFormat="1" ht="21.15" customHeight="1" x14ac:dyDescent="0.25">
      <c r="B163" s="547"/>
      <c r="C163" s="293"/>
      <c r="D163" s="543" t="s">
        <v>76</v>
      </c>
      <c r="E163" s="29" t="s">
        <v>77</v>
      </c>
      <c r="F163" s="168" t="s">
        <v>376</v>
      </c>
      <c r="G163" s="29" t="s">
        <v>332</v>
      </c>
      <c r="H163" s="547"/>
      <c r="I163" s="541" t="s">
        <v>50</v>
      </c>
      <c r="J163" s="125">
        <f t="shared" si="57"/>
        <v>103.79</v>
      </c>
      <c r="K163" s="36">
        <f t="shared" si="60"/>
        <v>103.79</v>
      </c>
      <c r="L163" s="28"/>
      <c r="M163" s="28"/>
      <c r="N163" s="165">
        <v>103.79</v>
      </c>
      <c r="O163" s="36">
        <f t="shared" si="51"/>
        <v>108.97950000000002</v>
      </c>
    </row>
    <row r="164" spans="2:15" s="19" customFormat="1" ht="21.15" customHeight="1" x14ac:dyDescent="0.25">
      <c r="B164" s="548"/>
      <c r="C164" s="294"/>
      <c r="D164" s="550"/>
      <c r="E164" s="29"/>
      <c r="F164" s="168" t="s">
        <v>375</v>
      </c>
      <c r="G164" s="29" t="s">
        <v>329</v>
      </c>
      <c r="H164" s="548"/>
      <c r="I164" s="554"/>
      <c r="J164" s="125">
        <f t="shared" ref="J164:J166" si="71">K164-K164*$K$3</f>
        <v>103.79</v>
      </c>
      <c r="K164" s="36">
        <f t="shared" si="60"/>
        <v>103.79</v>
      </c>
      <c r="L164" s="28"/>
      <c r="M164" s="28"/>
      <c r="N164" s="165">
        <v>103.79</v>
      </c>
      <c r="O164" s="36">
        <f t="shared" ref="O164:O166" si="72">N164*1.05</f>
        <v>108.97950000000002</v>
      </c>
    </row>
    <row r="165" spans="2:15" s="19" customFormat="1" ht="21.15" customHeight="1" x14ac:dyDescent="0.25">
      <c r="B165" s="548"/>
      <c r="C165" s="294"/>
      <c r="D165" s="550"/>
      <c r="E165" s="29"/>
      <c r="F165" s="168" t="s">
        <v>390</v>
      </c>
      <c r="G165" s="29" t="s">
        <v>328</v>
      </c>
      <c r="H165" s="548"/>
      <c r="I165" s="554"/>
      <c r="J165" s="125">
        <f t="shared" si="71"/>
        <v>103.79</v>
      </c>
      <c r="K165" s="36">
        <f t="shared" ref="K165:K171" si="73">IF($K$2=$N$2,N165,O165)</f>
        <v>103.79</v>
      </c>
      <c r="L165" s="28"/>
      <c r="M165" s="28"/>
      <c r="N165" s="165">
        <v>103.79</v>
      </c>
      <c r="O165" s="36">
        <f t="shared" si="72"/>
        <v>108.97950000000002</v>
      </c>
    </row>
    <row r="166" spans="2:15" s="19" customFormat="1" ht="21.15" customHeight="1" x14ac:dyDescent="0.25">
      <c r="B166" s="549"/>
      <c r="C166" s="295"/>
      <c r="D166" s="544"/>
      <c r="E166" s="29"/>
      <c r="F166" s="168" t="s">
        <v>402</v>
      </c>
      <c r="G166" s="29" t="s">
        <v>327</v>
      </c>
      <c r="H166" s="549"/>
      <c r="I166" s="542"/>
      <c r="J166" s="125">
        <f t="shared" si="71"/>
        <v>103.79</v>
      </c>
      <c r="K166" s="36">
        <f t="shared" si="73"/>
        <v>103.79</v>
      </c>
      <c r="L166" s="28"/>
      <c r="M166" s="28"/>
      <c r="N166" s="165">
        <v>103.79</v>
      </c>
      <c r="O166" s="36">
        <f t="shared" si="72"/>
        <v>108.97950000000002</v>
      </c>
    </row>
    <row r="167" spans="2:15" ht="21.15" customHeight="1" x14ac:dyDescent="0.3">
      <c r="B167" s="547"/>
      <c r="C167" s="293"/>
      <c r="D167" s="543" t="s">
        <v>241</v>
      </c>
      <c r="E167" s="29" t="s">
        <v>242</v>
      </c>
      <c r="F167" s="168" t="s">
        <v>378</v>
      </c>
      <c r="G167" s="29" t="s">
        <v>332</v>
      </c>
      <c r="H167" s="557"/>
      <c r="I167" s="541" t="s">
        <v>50</v>
      </c>
      <c r="J167" s="36">
        <f t="shared" ref="J167" si="74">K167-K167*$K$3</f>
        <v>33.47</v>
      </c>
      <c r="K167" s="162">
        <f t="shared" si="73"/>
        <v>33.47</v>
      </c>
      <c r="L167" s="28"/>
      <c r="M167" s="28"/>
      <c r="N167" s="165">
        <v>33.47</v>
      </c>
      <c r="O167" s="162">
        <f>N167*1.05</f>
        <v>35.143500000000003</v>
      </c>
    </row>
    <row r="168" spans="2:15" ht="21.15" customHeight="1" x14ac:dyDescent="0.3">
      <c r="B168" s="549"/>
      <c r="C168" s="295"/>
      <c r="D168" s="544"/>
      <c r="E168" s="29"/>
      <c r="F168" s="168" t="s">
        <v>377</v>
      </c>
      <c r="G168" s="29" t="s">
        <v>328</v>
      </c>
      <c r="H168" s="559"/>
      <c r="I168" s="542"/>
      <c r="J168" s="36">
        <f t="shared" ref="J168:J171" si="75">K168-K168*$K$3</f>
        <v>33.47</v>
      </c>
      <c r="K168" s="162">
        <f t="shared" si="73"/>
        <v>33.47</v>
      </c>
      <c r="L168" s="28"/>
      <c r="M168" s="28"/>
      <c r="N168" s="165">
        <v>33.47</v>
      </c>
      <c r="O168" s="162">
        <f>N168*1.05</f>
        <v>35.143500000000003</v>
      </c>
    </row>
    <row r="169" spans="2:15" ht="20.100000000000001" customHeight="1" x14ac:dyDescent="0.3">
      <c r="B169" s="546"/>
      <c r="C169" s="123"/>
      <c r="D169" s="556" t="s">
        <v>458</v>
      </c>
      <c r="E169" s="555" t="s">
        <v>36</v>
      </c>
      <c r="F169" s="129" t="s">
        <v>459</v>
      </c>
      <c r="G169" s="29" t="s">
        <v>328</v>
      </c>
      <c r="H169" s="545"/>
      <c r="I169" s="560" t="s">
        <v>31</v>
      </c>
      <c r="J169" s="125">
        <f t="shared" si="75"/>
        <v>61.71</v>
      </c>
      <c r="K169" s="36">
        <f t="shared" si="73"/>
        <v>61.71</v>
      </c>
      <c r="L169" s="28"/>
      <c r="M169" s="28"/>
      <c r="N169" s="165">
        <v>61.71</v>
      </c>
      <c r="O169" s="162">
        <f>N169*1.05</f>
        <v>64.795500000000004</v>
      </c>
    </row>
    <row r="170" spans="2:15" ht="20.100000000000001" customHeight="1" x14ac:dyDescent="0.3">
      <c r="B170" s="546"/>
      <c r="C170" s="123"/>
      <c r="D170" s="556"/>
      <c r="E170" s="555"/>
      <c r="F170" s="168" t="s">
        <v>460</v>
      </c>
      <c r="G170" s="29" t="s">
        <v>462</v>
      </c>
      <c r="H170" s="545"/>
      <c r="I170" s="560"/>
      <c r="J170" s="125">
        <f t="shared" si="75"/>
        <v>61.71</v>
      </c>
      <c r="K170" s="36">
        <f t="shared" si="73"/>
        <v>61.71</v>
      </c>
      <c r="L170" s="28"/>
      <c r="M170" s="28"/>
      <c r="N170" s="165">
        <v>61.71</v>
      </c>
      <c r="O170" s="162">
        <f t="shared" ref="O170:O171" si="76">N170*1.05</f>
        <v>64.795500000000004</v>
      </c>
    </row>
    <row r="171" spans="2:15" ht="20.100000000000001" customHeight="1" x14ac:dyDescent="0.3">
      <c r="B171" s="546"/>
      <c r="C171" s="123"/>
      <c r="D171" s="556"/>
      <c r="E171" s="555"/>
      <c r="F171" s="168" t="s">
        <v>461</v>
      </c>
      <c r="G171" s="29" t="s">
        <v>327</v>
      </c>
      <c r="H171" s="545"/>
      <c r="I171" s="560"/>
      <c r="J171" s="125">
        <f t="shared" si="75"/>
        <v>61.71</v>
      </c>
      <c r="K171" s="36">
        <f t="shared" si="73"/>
        <v>61.71</v>
      </c>
      <c r="L171" s="28"/>
      <c r="M171" s="28"/>
      <c r="N171" s="165">
        <v>61.71</v>
      </c>
      <c r="O171" s="162">
        <f t="shared" si="76"/>
        <v>64.795500000000004</v>
      </c>
    </row>
    <row r="172" spans="2:15" ht="17.399999999999999" customHeight="1" x14ac:dyDescent="0.3">
      <c r="B172" s="173" t="s">
        <v>266</v>
      </c>
      <c r="C172" s="307"/>
      <c r="D172" s="173"/>
      <c r="E172" s="173"/>
      <c r="F172" s="173"/>
      <c r="G172" s="173"/>
      <c r="H172" s="173"/>
      <c r="I172" s="173"/>
      <c r="J172" s="173"/>
      <c r="K172" s="173"/>
      <c r="L172" s="28"/>
      <c r="M172" s="28"/>
      <c r="N172" s="127"/>
      <c r="O172" s="127"/>
    </row>
    <row r="173" spans="2:15" ht="20.100000000000001" customHeight="1" x14ac:dyDescent="0.3">
      <c r="B173" s="547"/>
      <c r="C173" s="293"/>
      <c r="D173" s="543" t="s">
        <v>80</v>
      </c>
      <c r="E173" s="29" t="s">
        <v>146</v>
      </c>
      <c r="F173" s="168" t="s">
        <v>405</v>
      </c>
      <c r="G173" s="29" t="s">
        <v>227</v>
      </c>
      <c r="H173" s="557"/>
      <c r="I173" s="541" t="s">
        <v>31</v>
      </c>
      <c r="J173" s="36">
        <f>K173-K173*$K$3</f>
        <v>12.6</v>
      </c>
      <c r="K173" s="162">
        <f t="shared" ref="K173:K186" si="77">IF($K$2=$N$2,N173,O173)</f>
        <v>12.6</v>
      </c>
      <c r="L173" s="28"/>
      <c r="M173" s="28"/>
      <c r="N173" s="165">
        <v>12.6</v>
      </c>
      <c r="O173" s="162">
        <f t="shared" ref="O173:O186" si="78">N173*1.05</f>
        <v>13.23</v>
      </c>
    </row>
    <row r="174" spans="2:15" ht="20.100000000000001" customHeight="1" x14ac:dyDescent="0.3">
      <c r="B174" s="548"/>
      <c r="C174" s="294"/>
      <c r="D174" s="550"/>
      <c r="E174" s="29"/>
      <c r="F174" s="168" t="s">
        <v>406</v>
      </c>
      <c r="G174" s="29" t="s">
        <v>335</v>
      </c>
      <c r="H174" s="558"/>
      <c r="I174" s="554"/>
      <c r="J174" s="36">
        <f t="shared" ref="J174:J175" si="79">K174-K174*$K$3</f>
        <v>12.6</v>
      </c>
      <c r="K174" s="162">
        <f t="shared" si="77"/>
        <v>12.6</v>
      </c>
      <c r="L174" s="28"/>
      <c r="M174" s="28"/>
      <c r="N174" s="165">
        <v>12.6</v>
      </c>
      <c r="O174" s="162">
        <f t="shared" ref="O174:O175" si="80">N174*1.05</f>
        <v>13.23</v>
      </c>
    </row>
    <row r="175" spans="2:15" ht="20.100000000000001" customHeight="1" x14ac:dyDescent="0.3">
      <c r="B175" s="549"/>
      <c r="C175" s="295"/>
      <c r="D175" s="544"/>
      <c r="E175" s="29"/>
      <c r="F175" s="168" t="s">
        <v>407</v>
      </c>
      <c r="G175" s="29" t="s">
        <v>327</v>
      </c>
      <c r="H175" s="559"/>
      <c r="I175" s="542"/>
      <c r="J175" s="36">
        <f t="shared" si="79"/>
        <v>12.6</v>
      </c>
      <c r="K175" s="162">
        <f t="shared" si="77"/>
        <v>12.6</v>
      </c>
      <c r="L175" s="28"/>
      <c r="M175" s="28"/>
      <c r="N175" s="165">
        <v>12.6</v>
      </c>
      <c r="O175" s="162">
        <f t="shared" si="80"/>
        <v>13.23</v>
      </c>
    </row>
    <row r="176" spans="2:15" ht="38.25" customHeight="1" x14ac:dyDescent="0.3">
      <c r="B176" s="131"/>
      <c r="C176" s="131"/>
      <c r="D176" s="124" t="s">
        <v>147</v>
      </c>
      <c r="E176" s="29" t="s">
        <v>148</v>
      </c>
      <c r="F176" s="168" t="s">
        <v>403</v>
      </c>
      <c r="G176" s="29"/>
      <c r="H176" s="35"/>
      <c r="I176" s="123" t="s">
        <v>31</v>
      </c>
      <c r="J176" s="36">
        <f t="shared" ref="J176:J186" si="81">K176-K176*$K$3</f>
        <v>103.59</v>
      </c>
      <c r="K176" s="162">
        <f t="shared" si="77"/>
        <v>103.59</v>
      </c>
      <c r="L176" s="28"/>
      <c r="M176" s="28"/>
      <c r="N176" s="165">
        <v>103.59</v>
      </c>
      <c r="O176" s="162">
        <f t="shared" si="78"/>
        <v>108.76950000000001</v>
      </c>
    </row>
    <row r="177" spans="2:15" ht="39" customHeight="1" x14ac:dyDescent="0.3">
      <c r="B177" s="131"/>
      <c r="C177" s="131"/>
      <c r="D177" s="124" t="s">
        <v>149</v>
      </c>
      <c r="E177" s="29" t="s">
        <v>148</v>
      </c>
      <c r="F177" s="168" t="s">
        <v>404</v>
      </c>
      <c r="G177" s="29"/>
      <c r="H177" s="35"/>
      <c r="I177" s="123" t="s">
        <v>31</v>
      </c>
      <c r="J177" s="36">
        <f t="shared" si="81"/>
        <v>83.2</v>
      </c>
      <c r="K177" s="162">
        <f t="shared" si="77"/>
        <v>83.2</v>
      </c>
      <c r="L177" s="28"/>
      <c r="M177" s="28"/>
      <c r="N177" s="165">
        <v>83.2</v>
      </c>
      <c r="O177" s="162">
        <f t="shared" si="78"/>
        <v>87.360000000000014</v>
      </c>
    </row>
    <row r="178" spans="2:15" ht="42" customHeight="1" x14ac:dyDescent="0.3">
      <c r="B178" s="131"/>
      <c r="C178" s="131"/>
      <c r="D178" s="124" t="s">
        <v>150</v>
      </c>
      <c r="E178" s="29" t="s">
        <v>41</v>
      </c>
      <c r="F178" s="168" t="s">
        <v>198</v>
      </c>
      <c r="G178" s="29"/>
      <c r="H178" s="35"/>
      <c r="I178" s="29" t="s">
        <v>31</v>
      </c>
      <c r="J178" s="36">
        <f t="shared" si="81"/>
        <v>17.96</v>
      </c>
      <c r="K178" s="162">
        <f t="shared" si="77"/>
        <v>17.96</v>
      </c>
      <c r="L178" s="28"/>
      <c r="M178" s="28"/>
      <c r="N178" s="165">
        <v>17.96</v>
      </c>
      <c r="O178" s="162">
        <f t="shared" si="78"/>
        <v>18.858000000000001</v>
      </c>
    </row>
    <row r="179" spans="2:15" ht="34.5" customHeight="1" x14ac:dyDescent="0.3">
      <c r="B179" s="34"/>
      <c r="C179" s="34"/>
      <c r="D179" s="124" t="s">
        <v>82</v>
      </c>
      <c r="E179" s="29" t="s">
        <v>83</v>
      </c>
      <c r="F179" s="168" t="s">
        <v>408</v>
      </c>
      <c r="G179" s="170" t="s">
        <v>333</v>
      </c>
      <c r="H179" s="35"/>
      <c r="I179" s="29" t="s">
        <v>50</v>
      </c>
      <c r="J179" s="36">
        <f t="shared" si="81"/>
        <v>76.03</v>
      </c>
      <c r="K179" s="162">
        <f t="shared" si="77"/>
        <v>76.03</v>
      </c>
      <c r="L179" s="28"/>
      <c r="M179" s="28"/>
      <c r="N179" s="165">
        <v>76.03</v>
      </c>
      <c r="O179" s="162">
        <f t="shared" si="78"/>
        <v>79.831500000000005</v>
      </c>
    </row>
    <row r="180" spans="2:15" ht="36" customHeight="1" x14ac:dyDescent="0.3">
      <c r="B180" s="547"/>
      <c r="C180" s="293"/>
      <c r="D180" s="543" t="s">
        <v>151</v>
      </c>
      <c r="E180" s="29" t="s">
        <v>83</v>
      </c>
      <c r="F180" s="168" t="s">
        <v>409</v>
      </c>
      <c r="G180" s="170" t="s">
        <v>333</v>
      </c>
      <c r="H180" s="35"/>
      <c r="I180" s="123" t="s">
        <v>50</v>
      </c>
      <c r="J180" s="36">
        <f t="shared" si="81"/>
        <v>44.33</v>
      </c>
      <c r="K180" s="162">
        <f t="shared" si="77"/>
        <v>44.33</v>
      </c>
      <c r="L180" s="28"/>
      <c r="M180" s="28"/>
      <c r="N180" s="165">
        <v>44.33</v>
      </c>
      <c r="O180" s="162">
        <f t="shared" si="78"/>
        <v>46.546500000000002</v>
      </c>
    </row>
    <row r="181" spans="2:15" ht="32.25" customHeight="1" x14ac:dyDescent="0.3">
      <c r="B181" s="549"/>
      <c r="C181" s="295"/>
      <c r="D181" s="544"/>
      <c r="E181" s="29" t="s">
        <v>83</v>
      </c>
      <c r="F181" s="168" t="s">
        <v>410</v>
      </c>
      <c r="G181" s="170" t="s">
        <v>334</v>
      </c>
      <c r="H181" s="35"/>
      <c r="I181" s="123" t="s">
        <v>50</v>
      </c>
      <c r="J181" s="36">
        <f t="shared" si="81"/>
        <v>44.33</v>
      </c>
      <c r="K181" s="162">
        <f t="shared" si="77"/>
        <v>44.33</v>
      </c>
      <c r="L181" s="28"/>
      <c r="M181" s="28"/>
      <c r="N181" s="165">
        <v>44.33</v>
      </c>
      <c r="O181" s="162">
        <f t="shared" si="78"/>
        <v>46.546500000000002</v>
      </c>
    </row>
    <row r="182" spans="2:15" ht="20.100000000000001" customHeight="1" x14ac:dyDescent="0.3">
      <c r="B182" s="547"/>
      <c r="C182" s="293"/>
      <c r="D182" s="543" t="s">
        <v>152</v>
      </c>
      <c r="E182" s="29" t="s">
        <v>153</v>
      </c>
      <c r="F182" s="168" t="s">
        <v>412</v>
      </c>
      <c r="G182" s="29" t="s">
        <v>332</v>
      </c>
      <c r="H182" s="557"/>
      <c r="I182" s="541" t="s">
        <v>50</v>
      </c>
      <c r="J182" s="36">
        <f t="shared" si="81"/>
        <v>26.32</v>
      </c>
      <c r="K182" s="162">
        <f t="shared" si="77"/>
        <v>26.32</v>
      </c>
      <c r="L182" s="28"/>
      <c r="M182" s="28"/>
      <c r="N182" s="165">
        <v>26.32</v>
      </c>
      <c r="O182" s="162">
        <f t="shared" si="78"/>
        <v>27.636000000000003</v>
      </c>
    </row>
    <row r="183" spans="2:15" ht="20.100000000000001" customHeight="1" x14ac:dyDescent="0.3">
      <c r="B183" s="548"/>
      <c r="C183" s="294"/>
      <c r="D183" s="550"/>
      <c r="E183" s="29"/>
      <c r="F183" s="168" t="s">
        <v>413</v>
      </c>
      <c r="G183" s="29" t="s">
        <v>329</v>
      </c>
      <c r="H183" s="558"/>
      <c r="I183" s="554"/>
      <c r="J183" s="36">
        <f t="shared" ref="J183:J185" si="82">K183-K183*$K$3</f>
        <v>26.32</v>
      </c>
      <c r="K183" s="162">
        <f t="shared" si="77"/>
        <v>26.32</v>
      </c>
      <c r="L183" s="28"/>
      <c r="M183" s="28"/>
      <c r="N183" s="165">
        <v>26.32</v>
      </c>
      <c r="O183" s="162">
        <f t="shared" ref="O183:O185" si="83">N183*1.05</f>
        <v>27.636000000000003</v>
      </c>
    </row>
    <row r="184" spans="2:15" ht="20.100000000000001" customHeight="1" x14ac:dyDescent="0.3">
      <c r="B184" s="548"/>
      <c r="C184" s="294"/>
      <c r="D184" s="550"/>
      <c r="E184" s="29"/>
      <c r="F184" s="168" t="s">
        <v>414</v>
      </c>
      <c r="G184" s="29" t="s">
        <v>328</v>
      </c>
      <c r="H184" s="558"/>
      <c r="I184" s="554"/>
      <c r="J184" s="36">
        <f t="shared" si="82"/>
        <v>26.32</v>
      </c>
      <c r="K184" s="162">
        <f t="shared" si="77"/>
        <v>26.32</v>
      </c>
      <c r="L184" s="28"/>
      <c r="M184" s="28"/>
      <c r="N184" s="165">
        <v>26.32</v>
      </c>
      <c r="O184" s="162">
        <f t="shared" si="83"/>
        <v>27.636000000000003</v>
      </c>
    </row>
    <row r="185" spans="2:15" ht="20.100000000000001" customHeight="1" x14ac:dyDescent="0.3">
      <c r="B185" s="549"/>
      <c r="C185" s="295"/>
      <c r="D185" s="544"/>
      <c r="E185" s="29"/>
      <c r="F185" s="168" t="s">
        <v>415</v>
      </c>
      <c r="G185" s="29" t="s">
        <v>327</v>
      </c>
      <c r="H185" s="559"/>
      <c r="I185" s="542"/>
      <c r="J185" s="36">
        <f t="shared" si="82"/>
        <v>26.32</v>
      </c>
      <c r="K185" s="162">
        <f t="shared" si="77"/>
        <v>26.32</v>
      </c>
      <c r="L185" s="28"/>
      <c r="M185" s="28"/>
      <c r="N185" s="165">
        <v>26.32</v>
      </c>
      <c r="O185" s="162">
        <f t="shared" si="83"/>
        <v>27.636000000000003</v>
      </c>
    </row>
    <row r="186" spans="2:15" ht="39" customHeight="1" x14ac:dyDescent="0.3">
      <c r="B186" s="131"/>
      <c r="C186" s="131"/>
      <c r="D186" s="124" t="s">
        <v>81</v>
      </c>
      <c r="E186" s="29" t="s">
        <v>70</v>
      </c>
      <c r="F186" s="168" t="s">
        <v>411</v>
      </c>
      <c r="G186" s="29"/>
      <c r="H186" s="35"/>
      <c r="I186" s="123" t="s">
        <v>31</v>
      </c>
      <c r="J186" s="36">
        <f t="shared" si="81"/>
        <v>10.4</v>
      </c>
      <c r="K186" s="162">
        <f t="shared" si="77"/>
        <v>10.4</v>
      </c>
      <c r="L186" s="28"/>
      <c r="M186" s="28"/>
      <c r="N186" s="165">
        <v>10.4</v>
      </c>
      <c r="O186" s="162">
        <f t="shared" si="78"/>
        <v>10.920000000000002</v>
      </c>
    </row>
    <row r="187" spans="2:15" ht="25.2" customHeight="1" x14ac:dyDescent="0.3">
      <c r="B187" s="547"/>
      <c r="C187" s="131"/>
      <c r="D187" s="543" t="s">
        <v>522</v>
      </c>
      <c r="E187" s="29" t="s">
        <v>70</v>
      </c>
      <c r="F187" s="168" t="s">
        <v>523</v>
      </c>
      <c r="G187" s="29"/>
      <c r="H187" s="35"/>
      <c r="I187" s="123" t="s">
        <v>31</v>
      </c>
      <c r="J187" s="36">
        <f t="shared" ref="J187" si="84">K187-K187*$K$3</f>
        <v>797.31</v>
      </c>
      <c r="K187" s="162">
        <f t="shared" ref="K187" si="85">IF($K$2=$N$2,N187,O187)</f>
        <v>797.31</v>
      </c>
      <c r="L187" s="28"/>
      <c r="M187" s="28"/>
      <c r="N187" s="172">
        <v>797.31</v>
      </c>
      <c r="O187" s="162">
        <f t="shared" ref="O187:O190" si="86">N187*1.05</f>
        <v>837.17549999999994</v>
      </c>
    </row>
    <row r="188" spans="2:15" ht="19.95" customHeight="1" x14ac:dyDescent="0.3">
      <c r="B188" s="548"/>
      <c r="C188" s="131"/>
      <c r="D188" s="550"/>
      <c r="E188" s="29" t="s">
        <v>70</v>
      </c>
      <c r="F188" s="168" t="s">
        <v>524</v>
      </c>
      <c r="G188" s="29"/>
      <c r="H188" s="35"/>
      <c r="I188" s="123" t="s">
        <v>31</v>
      </c>
      <c r="J188" s="36">
        <f t="shared" ref="J188:J190" si="87">K188-K188*$K$3</f>
        <v>797.31</v>
      </c>
      <c r="K188" s="162">
        <f t="shared" ref="K188:K190" si="88">IF($K$2=$N$2,N188,O188)</f>
        <v>797.31</v>
      </c>
      <c r="M188" s="28"/>
      <c r="N188" s="172">
        <v>797.31</v>
      </c>
      <c r="O188" s="162">
        <f t="shared" si="86"/>
        <v>837.17549999999994</v>
      </c>
    </row>
    <row r="189" spans="2:15" ht="19.95" customHeight="1" x14ac:dyDescent="0.3">
      <c r="B189" s="548"/>
      <c r="C189" s="131"/>
      <c r="D189" s="550"/>
      <c r="E189" s="29" t="s">
        <v>70</v>
      </c>
      <c r="F189" s="168" t="s">
        <v>525</v>
      </c>
      <c r="G189" s="29"/>
      <c r="H189" s="35"/>
      <c r="I189" s="123" t="s">
        <v>31</v>
      </c>
      <c r="J189" s="36">
        <f t="shared" si="87"/>
        <v>797.31</v>
      </c>
      <c r="K189" s="162">
        <f t="shared" si="88"/>
        <v>797.31</v>
      </c>
      <c r="M189" s="28"/>
      <c r="N189" s="172">
        <v>797.31</v>
      </c>
      <c r="O189" s="162">
        <f t="shared" si="86"/>
        <v>837.17549999999994</v>
      </c>
    </row>
    <row r="190" spans="2:15" ht="19.95" customHeight="1" x14ac:dyDescent="0.3">
      <c r="B190" s="549"/>
      <c r="C190" s="131"/>
      <c r="D190" s="544"/>
      <c r="E190" s="29" t="s">
        <v>70</v>
      </c>
      <c r="F190" s="168" t="s">
        <v>526</v>
      </c>
      <c r="G190" s="29"/>
      <c r="H190" s="35"/>
      <c r="I190" s="123" t="s">
        <v>31</v>
      </c>
      <c r="J190" s="36">
        <f t="shared" si="87"/>
        <v>797.31</v>
      </c>
      <c r="K190" s="162">
        <f t="shared" si="88"/>
        <v>797.31</v>
      </c>
      <c r="M190" s="28"/>
      <c r="N190" s="172">
        <v>797.31</v>
      </c>
      <c r="O190" s="162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</mergeCells>
  <dataValidations count="1">
    <dataValidation type="list" allowBlank="1" showInputMessage="1" showErrorMessage="1" sqref="K2" xr:uid="{00000000-0002-0000-0500-000000000000}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prunvv</cp:lastModifiedBy>
  <cp:lastPrinted>2022-05-14T19:52:51Z</cp:lastPrinted>
  <dcterms:created xsi:type="dcterms:W3CDTF">2015-02-11T05:31:15Z</dcterms:created>
  <dcterms:modified xsi:type="dcterms:W3CDTF">2025-06-03T09:28:18Z</dcterms:modified>
</cp:coreProperties>
</file>