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ЭтаКнига" defaultThemeVersion="124226"/>
  <workbookProtection workbookAlgorithmName="SHA-512" workbookHashValue="u+ZcJZKafEU/O7zz+N/NpsgFYtKiFZZ8PCo9hH+DX7iM470bToY9OK+D+w66D2kVcavJZ+7Z4TCCMEAP5ANWbQ==" workbookSaltValue="T6UilxoTFK33hoa6HA03tg==" workbookSpinCount="100000" lockStructure="1"/>
  <bookViews>
    <workbookView xWindow="0" yWindow="0" windowWidth="23040" windowHeight="9192" tabRatio="874"/>
  </bookViews>
  <sheets>
    <sheet name="Стеллажная" sheetId="1" r:id="rId1"/>
    <sheet name="Прайс" sheetId="2" state="hidden" r:id="rId2"/>
  </sheets>
  <definedNames>
    <definedName name="_xlnm.Print_Area" localSheetId="0">Стеллажная!$B$2:$M$57</definedName>
  </definedNames>
  <calcPr calcId="162913"/>
</workbook>
</file>

<file path=xl/calcChain.xml><?xml version="1.0" encoding="utf-8"?>
<calcChain xmlns="http://schemas.openxmlformats.org/spreadsheetml/2006/main">
  <c r="M20" i="1" l="1"/>
  <c r="F24" i="1" l="1"/>
  <c r="D24" i="1"/>
  <c r="L19" i="1" l="1"/>
  <c r="L18" i="1"/>
  <c r="L17" i="1"/>
  <c r="L16" i="1"/>
  <c r="L15" i="1"/>
  <c r="G24" i="1"/>
  <c r="E24" i="1"/>
  <c r="C24" i="1"/>
  <c r="K23" i="1" l="1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4" i="2"/>
  <c r="Q26" i="1" l="1"/>
  <c r="P26" i="1"/>
  <c r="Q23" i="1"/>
  <c r="P23" i="1"/>
  <c r="Q31" i="1"/>
  <c r="P31" i="1"/>
  <c r="Q25" i="1"/>
  <c r="P25" i="1"/>
  <c r="J25" i="1" s="1"/>
  <c r="Q24" i="1"/>
  <c r="J24" i="1" s="1"/>
  <c r="P24" i="1"/>
  <c r="Q30" i="1"/>
  <c r="P30" i="1"/>
  <c r="Q32" i="1"/>
  <c r="P32" i="1"/>
  <c r="Q27" i="1"/>
  <c r="P27" i="1"/>
  <c r="J27" i="1" s="1"/>
  <c r="Q28" i="1"/>
  <c r="P28" i="1"/>
  <c r="Q29" i="1"/>
  <c r="P29" i="1"/>
  <c r="Q16" i="1"/>
  <c r="Q17" i="1"/>
  <c r="Q18" i="1"/>
  <c r="Q19" i="1"/>
  <c r="Q11" i="1"/>
  <c r="Q12" i="1"/>
  <c r="Q13" i="1"/>
  <c r="Q14" i="1"/>
  <c r="J14" i="1" s="1"/>
  <c r="Q9" i="1"/>
  <c r="Q15" i="1"/>
  <c r="Q10" i="1"/>
  <c r="Q8" i="1"/>
  <c r="Q20" i="1"/>
  <c r="P20" i="1"/>
  <c r="J20" i="1" s="1"/>
  <c r="P16" i="1"/>
  <c r="P17" i="1"/>
  <c r="P18" i="1"/>
  <c r="P19" i="1"/>
  <c r="J19" i="1" s="1"/>
  <c r="P15" i="1"/>
  <c r="J15" i="1" s="1"/>
  <c r="P11" i="1"/>
  <c r="P12" i="1"/>
  <c r="P13" i="1"/>
  <c r="J13" i="1" s="1"/>
  <c r="P14" i="1"/>
  <c r="P9" i="1"/>
  <c r="P8" i="1"/>
  <c r="J8" i="1" s="1"/>
  <c r="P10" i="1"/>
  <c r="J10" i="1" s="1"/>
  <c r="J28" i="1"/>
  <c r="J32" i="1"/>
  <c r="J30" i="1"/>
  <c r="J31" i="1"/>
  <c r="J26" i="1"/>
  <c r="J9" i="1"/>
  <c r="J16" i="1"/>
  <c r="J17" i="1"/>
  <c r="J18" i="1"/>
  <c r="E4" i="2"/>
  <c r="E33" i="2"/>
  <c r="E32" i="2"/>
  <c r="E31" i="2"/>
  <c r="E30" i="2"/>
  <c r="E28" i="2"/>
  <c r="E27" i="2"/>
  <c r="E26" i="2"/>
  <c r="E25" i="2"/>
  <c r="E24" i="2"/>
  <c r="E23" i="2"/>
  <c r="E22" i="2"/>
  <c r="E21" i="2"/>
  <c r="E20" i="2"/>
  <c r="E18" i="2"/>
  <c r="E17" i="2"/>
  <c r="E16" i="2"/>
  <c r="E15" i="2"/>
  <c r="E14" i="2"/>
  <c r="E13" i="2"/>
  <c r="E12" i="2"/>
  <c r="E11" i="2"/>
  <c r="E10" i="2"/>
  <c r="E9" i="2"/>
  <c r="E7" i="2"/>
  <c r="E6" i="2"/>
  <c r="E5" i="2"/>
  <c r="J29" i="1" l="1"/>
  <c r="J23" i="1"/>
  <c r="J12" i="1"/>
  <c r="J11" i="1"/>
  <c r="L20" i="1"/>
  <c r="K27" i="1" s="1"/>
  <c r="K19" i="1"/>
  <c r="K18" i="1"/>
  <c r="K17" i="1"/>
  <c r="K16" i="1"/>
  <c r="K14" i="1"/>
  <c r="K13" i="1"/>
  <c r="K12" i="1"/>
  <c r="K11" i="1"/>
  <c r="L8" i="1"/>
  <c r="K29" i="1" s="1"/>
  <c r="T29" i="1" s="1"/>
  <c r="L14" i="1"/>
  <c r="L13" i="1"/>
  <c r="L12" i="1"/>
  <c r="L11" i="1"/>
  <c r="L10" i="1"/>
  <c r="K20" i="1"/>
  <c r="K9" i="1"/>
  <c r="K8" i="1"/>
  <c r="T20" i="1" l="1"/>
  <c r="K25" i="1"/>
  <c r="T25" i="1" s="1"/>
  <c r="L9" i="1"/>
  <c r="K30" i="1" s="1"/>
  <c r="T30" i="1" s="1"/>
  <c r="T27" i="1"/>
  <c r="K24" i="1"/>
  <c r="T24" i="1" s="1"/>
  <c r="K32" i="1"/>
  <c r="T32" i="1" s="1"/>
  <c r="C18" i="1"/>
  <c r="C21" i="1" s="1"/>
  <c r="M8" i="1" l="1"/>
  <c r="T8" i="1" s="1"/>
  <c r="K26" i="1"/>
  <c r="T26" i="1" s="1"/>
  <c r="T23" i="1"/>
  <c r="K28" i="1"/>
  <c r="T28" i="1" s="1"/>
  <c r="K10" i="1"/>
  <c r="M10" i="1" s="1"/>
  <c r="K15" i="1"/>
  <c r="M15" i="1" s="1"/>
  <c r="T15" i="1" l="1"/>
  <c r="T10" i="1"/>
  <c r="K31" i="1"/>
  <c r="T31" i="1" s="1"/>
  <c r="V35" i="1" l="1"/>
</calcChain>
</file>

<file path=xl/sharedStrings.xml><?xml version="1.0" encoding="utf-8"?>
<sst xmlns="http://schemas.openxmlformats.org/spreadsheetml/2006/main" count="160" uniqueCount="131">
  <si>
    <t>размер</t>
  </si>
  <si>
    <t>количество</t>
  </si>
  <si>
    <t>Фурнитура:</t>
  </si>
  <si>
    <t>РЕЗУЛЬТАТ РАСЧЁТА</t>
  </si>
  <si>
    <t>ВВОД ИСХОДНЫХ ДАННЫХ ДЛЯ РАСЧЁТА</t>
  </si>
  <si>
    <t>артикул</t>
  </si>
  <si>
    <t>Профиль несущий</t>
  </si>
  <si>
    <t>Кол-во хлыстов</t>
  </si>
  <si>
    <t>Кол-во деталей</t>
  </si>
  <si>
    <t>Выберите вариант установки стеллажной</t>
  </si>
  <si>
    <t>пол-потолок</t>
  </si>
  <si>
    <t>пол-стена</t>
  </si>
  <si>
    <t>Полкодержатель</t>
  </si>
  <si>
    <t>Количество секций</t>
  </si>
  <si>
    <t>Высота проема</t>
  </si>
  <si>
    <t>Ширина проема</t>
  </si>
  <si>
    <t>Секция 1</t>
  </si>
  <si>
    <t>Кол-во двухуровневых обувниц</t>
  </si>
  <si>
    <t>Кол-во штанг</t>
  </si>
  <si>
    <t>Ширина секции</t>
  </si>
  <si>
    <t>Секция 2</t>
  </si>
  <si>
    <t>Секция 3</t>
  </si>
  <si>
    <t>Секция 4</t>
  </si>
  <si>
    <t>Секция 5</t>
  </si>
  <si>
    <t>Расчет Стеллажной системы</t>
  </si>
  <si>
    <t>Ширина конструкции</t>
  </si>
  <si>
    <t>Штанга секция 1</t>
  </si>
  <si>
    <t>Штанга секция 2</t>
  </si>
  <si>
    <t>Штанга секция 3</t>
  </si>
  <si>
    <t>Штанга секция 4</t>
  </si>
  <si>
    <t>Штанга секция 5</t>
  </si>
  <si>
    <t>Штанга для обуви секция 1</t>
  </si>
  <si>
    <t>Штанга для обуви секция 2</t>
  </si>
  <si>
    <t>Штанга для обуви секция 3</t>
  </si>
  <si>
    <t>Штанга для обуви секция 4</t>
  </si>
  <si>
    <t>Штанга для обуви секция 5</t>
  </si>
  <si>
    <t>Ножка регулируемая</t>
  </si>
  <si>
    <t>Крепление стеновое</t>
  </si>
  <si>
    <t>Крепление полкодержателя</t>
  </si>
  <si>
    <t>Штангодержатель</t>
  </si>
  <si>
    <t>Соединитель 90° несущего профиля</t>
  </si>
  <si>
    <t>Заглушка несущего профиля</t>
  </si>
  <si>
    <t>Заглушки полкодержателя</t>
  </si>
  <si>
    <t>Уплотнитель для штанги</t>
  </si>
  <si>
    <t>Держатель штанги для обуви</t>
  </si>
  <si>
    <t>Заглушка штанги для обуви</t>
  </si>
  <si>
    <t>пол-потолок зонирование</t>
  </si>
  <si>
    <t>Глубина конструкции</t>
  </si>
  <si>
    <t>Количество полок ЛДСП, общее</t>
  </si>
  <si>
    <t>Количество стеклянных полок, общее</t>
  </si>
  <si>
    <t>Количество тумб для ящиков, общее*</t>
  </si>
  <si>
    <t>* тумба - это каркас под вкладные ящики или открытая секция</t>
  </si>
  <si>
    <t>Укажите высоту конструкции (высота от пола до края профиля)</t>
  </si>
  <si>
    <t>Пол-потолок</t>
  </si>
  <si>
    <t>Пол-стена</t>
  </si>
  <si>
    <t>Пол-потолок зонирование</t>
  </si>
  <si>
    <t>серебро матовое</t>
  </si>
  <si>
    <t>черный матовый</t>
  </si>
  <si>
    <t>SA0196.VP540.SLMAN.CJ</t>
  </si>
  <si>
    <t>SA0195.VP540.SLMAN.CJ</t>
  </si>
  <si>
    <t>SA0199.VP540.SLMAN.CJ</t>
  </si>
  <si>
    <t>SA0198.VP540.SLMAN.CJ</t>
  </si>
  <si>
    <t>SA0196.VP540.BKSPC.CJ</t>
  </si>
  <si>
    <t>SA0195.VP540.BKSPC.CJ</t>
  </si>
  <si>
    <t>SA0702.VP540.BKSPC.CJ</t>
  </si>
  <si>
    <t>SA0198.VP540.BKSPC.CJ</t>
  </si>
  <si>
    <t>Ценовая группа/ Номенклатура/ Характеристика номенклатуры</t>
  </si>
  <si>
    <t xml:space="preserve">Номенклатура.Артикул </t>
  </si>
  <si>
    <t>ОПТОВАЯ от 12.04.2021</t>
  </si>
  <si>
    <t>АРИСТО (-40%)</t>
  </si>
  <si>
    <t>Цена</t>
  </si>
  <si>
    <t>Ед.</t>
  </si>
  <si>
    <t>шт</t>
  </si>
  <si>
    <t>компл</t>
  </si>
  <si>
    <t xml:space="preserve">        Стеллаж матовый хром</t>
  </si>
  <si>
    <t xml:space="preserve">            Полкодержатель, Серебро матовое</t>
  </si>
  <si>
    <t xml:space="preserve">            Профиль несущий, Серебро матовое</t>
  </si>
  <si>
    <t xml:space="preserve">            Штанга для обуви, Серебро матовое</t>
  </si>
  <si>
    <t xml:space="preserve">            Штанга, Серебро матовое</t>
  </si>
  <si>
    <t xml:space="preserve">        Стеллаж Фурнитура, матовый хром </t>
  </si>
  <si>
    <t xml:space="preserve">            Держатель штанги для обуви, Серебро матовое</t>
  </si>
  <si>
    <t>SA0026.AP000.SLMPC.CY</t>
  </si>
  <si>
    <t xml:space="preserve">            Заглушка несущего профиля, Серебро матовое</t>
  </si>
  <si>
    <t>SA0030.VP000.SLM00.CY</t>
  </si>
  <si>
    <t xml:space="preserve">            Заглушки полкодержателя, Серебро матовое</t>
  </si>
  <si>
    <t>SA0022.VR000.SLMPC.CY</t>
  </si>
  <si>
    <t xml:space="preserve">            Заглушки штанги для обуви, Серебро матовое</t>
  </si>
  <si>
    <t>SA0262.AR000.SLM00.CY</t>
  </si>
  <si>
    <t xml:space="preserve">            Крепление полкодержателя, Серебро матовое</t>
  </si>
  <si>
    <t>SA0023.VP000.SLMPC.CY</t>
  </si>
  <si>
    <t xml:space="preserve">            Крепление стеновое, Серебро матовое</t>
  </si>
  <si>
    <t>SA0032.VP000.SLMPC.CY</t>
  </si>
  <si>
    <t xml:space="preserve">            Ножка регулируемая, Серебро матовое</t>
  </si>
  <si>
    <t>SA0020.VP000.SLMPC.CY</t>
  </si>
  <si>
    <t xml:space="preserve">            Соединитель 90° несущего профиля, Серебро матовое</t>
  </si>
  <si>
    <t>SA0029.VP000.SLMPC.CY</t>
  </si>
  <si>
    <t xml:space="preserve">            Уплотнитель для штанги, серый (100 м)</t>
  </si>
  <si>
    <t>SA0033.VM100.GR000.RK</t>
  </si>
  <si>
    <t>м</t>
  </si>
  <si>
    <t xml:space="preserve">            Штангодержатель, Серебро матовое</t>
  </si>
  <si>
    <t>SA0021.VP000.SLMPC.CY</t>
  </si>
  <si>
    <t xml:space="preserve">        Стеллаж Фурнитура, черный </t>
  </si>
  <si>
    <t xml:space="preserve">            Держатель штанги для обуви, Чёрный матовый</t>
  </si>
  <si>
    <t>SA0026.AP000.BKSPC.CY</t>
  </si>
  <si>
    <t xml:space="preserve">            Заглушка несущего профиля, Чёрный матовый</t>
  </si>
  <si>
    <t>SA0030.VP000.BKM00.CY</t>
  </si>
  <si>
    <t xml:space="preserve">            Заглушки полкодержателя, Чёрный матовый</t>
  </si>
  <si>
    <t>SA0022.VR000.BKSPC.CY</t>
  </si>
  <si>
    <t xml:space="preserve">            Заглушки штанги для обуви, Чёрный матовый</t>
  </si>
  <si>
    <t>SA0262.AR000.BKM00.CY</t>
  </si>
  <si>
    <t xml:space="preserve">            Крепление полкодержателя, Чёрный матовый</t>
  </si>
  <si>
    <t>SA0023.VP000.BKSPC.CY</t>
  </si>
  <si>
    <t xml:space="preserve">            Крепление стеновое, Чёрный матовый</t>
  </si>
  <si>
    <t>SA0032.VP000.BKSPC.CY</t>
  </si>
  <si>
    <t xml:space="preserve">            Ножка регулируемая, Чёрный матовый</t>
  </si>
  <si>
    <t>SA0020.VP000.BKSPC.CY</t>
  </si>
  <si>
    <t xml:space="preserve">            Соединитель 90° несущего профиля, Чёрный матовый</t>
  </si>
  <si>
    <t>SA0029.VP000.BKSPC.CY</t>
  </si>
  <si>
    <t xml:space="preserve">            Штангодержатель, Чёрный матовый</t>
  </si>
  <si>
    <t>SA0021.VP000.BKSPC.CY</t>
  </si>
  <si>
    <t xml:space="preserve">        Стеллаж черный матовый </t>
  </si>
  <si>
    <t xml:space="preserve">            Полкодержатель, Чёрный матовый</t>
  </si>
  <si>
    <t xml:space="preserve">            Профиль несущий, Чёрный матовый</t>
  </si>
  <si>
    <t xml:space="preserve">            Штанга для обуви 702, Чёрный матовый</t>
  </si>
  <si>
    <t xml:space="preserve">            Штанга, Чёрный матовый</t>
  </si>
  <si>
    <t>Раскрой деталей:</t>
  </si>
  <si>
    <t>Коэффициент</t>
  </si>
  <si>
    <t>Стоимость с учетом коэффициента</t>
  </si>
  <si>
    <t>Стоимость, руб.</t>
  </si>
  <si>
    <t xml:space="preserve">Общая стоимость:   </t>
  </si>
  <si>
    <t>Цвет системы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</si>
</sst>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#,##0&quot; мм&quot;"/>
    <numFmt numFmtId="165" formatCode="#,##0&quot; м&quot;"/>
    <numFmt numFmtId="166" formatCode="#,##0&quot; шт.&quot;"/>
    <numFmt numFmtId="167" formatCode="#,##0&quot; комп.&quot;"/>
    <numFmt numFmtId="168" formatCode="0.00&quot; руб.&quot;"/>
    <numFmt numFmtId="169" formatCode="#,##0.00&quot; руб.&quot;"/>
  </numFmts>
  <fonts count="13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b/>
      <u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20"/>
      <color theme="1"/>
      <name val="Candara"/>
      <family val="2"/>
      <charset val="204"/>
    </font>
    <font>
      <sz val="14"/>
      <name val="Calibri"/>
      <family val="2"/>
      <charset val="204"/>
      <scheme val="minor"/>
    </font>
    <font>
      <sz val="14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scheme val="minor"/>
    </font>
    <font>
      <b/>
      <sz val="13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4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164" fontId="2" fillId="0" borderId="1" xfId="0" applyNumberFormat="1" applyFont="1" applyBorder="1" applyAlignment="1" applyProtection="1">
      <alignment horizontal="center" vertical="center"/>
    </xf>
    <xf numFmtId="166" fontId="8" fillId="0" borderId="0" xfId="0" applyNumberFormat="1" applyFont="1" applyFill="1" applyAlignment="1" applyProtection="1">
      <alignment vertical="center"/>
    </xf>
    <xf numFmtId="14" fontId="1" fillId="0" borderId="0" xfId="0" applyNumberFormat="1" applyFont="1" applyAlignment="1" applyProtection="1">
      <alignment horizontal="left"/>
    </xf>
    <xf numFmtId="0" fontId="1" fillId="0" borderId="0" xfId="0" applyFont="1" applyAlignment="1" applyProtection="1">
      <alignment horizontal="center" vertical="center"/>
    </xf>
    <xf numFmtId="0" fontId="1" fillId="0" borderId="0" xfId="0" applyFont="1" applyProtection="1"/>
    <xf numFmtId="0" fontId="1" fillId="0" borderId="0" xfId="0" applyFont="1" applyAlignment="1" applyProtection="1">
      <alignment vertical="center"/>
    </xf>
    <xf numFmtId="0" fontId="1" fillId="0" borderId="0" xfId="0" applyFont="1" applyFill="1" applyAlignment="1" applyProtection="1">
      <alignment vertical="center"/>
    </xf>
    <xf numFmtId="0" fontId="0" fillId="0" borderId="0" xfId="0" applyFill="1" applyBorder="1" applyAlignment="1" applyProtection="1">
      <alignment vertical="center" wrapText="1"/>
    </xf>
    <xf numFmtId="0" fontId="1" fillId="0" borderId="0" xfId="0" applyFont="1" applyFill="1" applyProtection="1"/>
    <xf numFmtId="0" fontId="0" fillId="0" borderId="0" xfId="0" applyBorder="1" applyAlignment="1" applyProtection="1">
      <alignment vertical="top" wrapText="1"/>
    </xf>
    <xf numFmtId="0" fontId="2" fillId="0" borderId="0" xfId="0" applyFont="1" applyFill="1" applyBorder="1" applyAlignment="1" applyProtection="1">
      <alignment horizontal="center" vertical="center" wrapText="1"/>
    </xf>
    <xf numFmtId="0" fontId="7" fillId="0" borderId="1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vertical="center"/>
    </xf>
    <xf numFmtId="0" fontId="1" fillId="0" borderId="1" xfId="0" applyFont="1" applyBorder="1" applyAlignment="1" applyProtection="1">
      <alignment vertical="center"/>
    </xf>
    <xf numFmtId="0" fontId="1" fillId="0" borderId="1" xfId="0" applyFont="1" applyBorder="1" applyAlignment="1" applyProtection="1">
      <alignment horizontal="left" vertical="center"/>
    </xf>
    <xf numFmtId="164" fontId="2" fillId="3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vertical="center" wrapText="1"/>
    </xf>
    <xf numFmtId="0" fontId="1" fillId="0" borderId="0" xfId="0" applyFont="1" applyFill="1" applyBorder="1" applyAlignment="1" applyProtection="1">
      <alignment vertical="center"/>
    </xf>
    <xf numFmtId="166" fontId="2" fillId="3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/>
    </xf>
    <xf numFmtId="0" fontId="1" fillId="0" borderId="2" xfId="0" applyFont="1" applyFill="1" applyBorder="1" applyAlignment="1" applyProtection="1">
      <alignment vertical="center"/>
    </xf>
    <xf numFmtId="0" fontId="3" fillId="2" borderId="1" xfId="0" applyFont="1" applyFill="1" applyBorder="1" applyAlignment="1" applyProtection="1">
      <alignment horizontal="left" vertical="center"/>
    </xf>
    <xf numFmtId="0" fontId="6" fillId="2" borderId="1" xfId="0" applyFont="1" applyFill="1" applyBorder="1" applyAlignment="1" applyProtection="1">
      <alignment horizontal="center" vertical="center"/>
    </xf>
    <xf numFmtId="0" fontId="1" fillId="2" borderId="1" xfId="0" applyFont="1" applyFill="1" applyBorder="1" applyAlignment="1" applyProtection="1">
      <alignment horizontal="center" vertical="center"/>
    </xf>
    <xf numFmtId="0" fontId="1" fillId="2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left" vertical="center"/>
    </xf>
    <xf numFmtId="0" fontId="6" fillId="0" borderId="1" xfId="0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vertical="center"/>
    </xf>
    <xf numFmtId="0" fontId="1" fillId="0" borderId="2" xfId="0" applyFont="1" applyBorder="1" applyAlignment="1" applyProtection="1">
      <alignment vertical="center"/>
    </xf>
    <xf numFmtId="164" fontId="2" fillId="0" borderId="4" xfId="0" applyNumberFormat="1" applyFont="1" applyBorder="1" applyAlignment="1" applyProtection="1">
      <alignment horizontal="center" vertical="center"/>
    </xf>
    <xf numFmtId="167" fontId="9" fillId="0" borderId="1" xfId="0" applyNumberFormat="1" applyFont="1" applyBorder="1" applyAlignment="1" applyProtection="1">
      <alignment horizontal="center" vertical="center" wrapText="1"/>
    </xf>
    <xf numFmtId="166" fontId="9" fillId="0" borderId="1" xfId="0" applyNumberFormat="1" applyFont="1" applyBorder="1" applyAlignment="1" applyProtection="1">
      <alignment horizontal="center" vertical="center" wrapText="1"/>
    </xf>
    <xf numFmtId="164" fontId="2" fillId="0" borderId="1" xfId="0" applyNumberFormat="1" applyFont="1" applyFill="1" applyBorder="1" applyAlignment="1" applyProtection="1">
      <alignment horizontal="center" vertical="center"/>
    </xf>
    <xf numFmtId="166" fontId="2" fillId="0" borderId="1" xfId="0" applyNumberFormat="1" applyFont="1" applyFill="1" applyBorder="1" applyAlignment="1" applyProtection="1">
      <alignment horizontal="center" vertical="center"/>
    </xf>
    <xf numFmtId="166" fontId="2" fillId="0" borderId="1" xfId="0" applyNumberFormat="1" applyFont="1" applyBorder="1" applyAlignment="1" applyProtection="1">
      <alignment horizontal="center" vertical="center"/>
    </xf>
    <xf numFmtId="166" fontId="9" fillId="0" borderId="1" xfId="0" applyNumberFormat="1" applyFont="1" applyBorder="1" applyAlignment="1" applyProtection="1">
      <alignment horizontal="center" vertical="center"/>
    </xf>
    <xf numFmtId="165" fontId="9" fillId="0" borderId="1" xfId="0" applyNumberFormat="1" applyFont="1" applyBorder="1" applyAlignment="1" applyProtection="1">
      <alignment horizontal="center" vertical="center" wrapText="1"/>
    </xf>
    <xf numFmtId="0" fontId="1" fillId="0" borderId="6" xfId="0" applyFont="1" applyBorder="1" applyProtection="1"/>
    <xf numFmtId="0" fontId="1" fillId="0" borderId="7" xfId="0" applyFont="1" applyBorder="1" applyAlignment="1" applyProtection="1">
      <alignment horizontal="center" vertical="center"/>
    </xf>
    <xf numFmtId="0" fontId="1" fillId="0" borderId="8" xfId="0" applyFont="1" applyBorder="1" applyAlignment="1" applyProtection="1">
      <alignment horizontal="center" vertical="center"/>
    </xf>
    <xf numFmtId="0" fontId="2" fillId="0" borderId="9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center" vertical="center"/>
    </xf>
    <xf numFmtId="0" fontId="1" fillId="0" borderId="9" xfId="0" applyFont="1" applyBorder="1" applyProtection="1"/>
    <xf numFmtId="0" fontId="1" fillId="0" borderId="10" xfId="0" applyFont="1" applyBorder="1" applyAlignment="1" applyProtection="1">
      <alignment horizontal="center" vertical="center"/>
    </xf>
    <xf numFmtId="0" fontId="1" fillId="0" borderId="11" xfId="0" applyFont="1" applyBorder="1" applyProtection="1"/>
    <xf numFmtId="0" fontId="1" fillId="0" borderId="12" xfId="0" applyFont="1" applyBorder="1" applyAlignment="1" applyProtection="1">
      <alignment horizontal="center" vertical="center"/>
    </xf>
    <xf numFmtId="0" fontId="1" fillId="0" borderId="13" xfId="0" applyFont="1" applyBorder="1" applyAlignment="1" applyProtection="1">
      <alignment horizontal="center" vertical="center"/>
    </xf>
    <xf numFmtId="0" fontId="0" fillId="0" borderId="0" xfId="0" applyAlignment="1">
      <alignment horizontal="center"/>
    </xf>
    <xf numFmtId="0" fontId="0" fillId="5" borderId="1" xfId="0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169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168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0" xfId="0" applyAlignment="1">
      <alignment horizontal="left"/>
    </xf>
    <xf numFmtId="164" fontId="4" fillId="2" borderId="1" xfId="0" applyNumberFormat="1" applyFont="1" applyFill="1" applyBorder="1" applyAlignment="1" applyProtection="1">
      <alignment horizontal="center" vertical="center" wrapText="1"/>
    </xf>
    <xf numFmtId="0" fontId="0" fillId="3" borderId="1" xfId="0" applyFill="1" applyBorder="1"/>
    <xf numFmtId="0" fontId="0" fillId="6" borderId="4" xfId="0" applyFill="1" applyBorder="1" applyAlignment="1">
      <alignment horizontal="center" vertical="center"/>
    </xf>
    <xf numFmtId="1" fontId="2" fillId="0" borderId="1" xfId="0" applyNumberFormat="1" applyFont="1" applyBorder="1" applyAlignment="1" applyProtection="1">
      <alignment horizontal="center" vertical="center"/>
    </xf>
    <xf numFmtId="1" fontId="2" fillId="0" borderId="1" xfId="0" applyNumberFormat="1" applyFont="1" applyBorder="1" applyAlignment="1" applyProtection="1">
      <alignment horizontal="center"/>
    </xf>
    <xf numFmtId="1" fontId="11" fillId="0" borderId="4" xfId="0" applyNumberFormat="1" applyFont="1" applyBorder="1" applyAlignment="1" applyProtection="1">
      <alignment horizontal="center"/>
    </xf>
    <xf numFmtId="0" fontId="1" fillId="0" borderId="0" xfId="0" applyFont="1" applyAlignment="1" applyProtection="1">
      <alignment horizontal="center" vertical="center"/>
    </xf>
    <xf numFmtId="1" fontId="12" fillId="0" borderId="0" xfId="0" applyNumberFormat="1" applyFont="1" applyAlignment="1" applyProtection="1">
      <alignment horizontal="center" vertical="center"/>
    </xf>
    <xf numFmtId="3" fontId="12" fillId="0" borderId="0" xfId="0" applyNumberFormat="1" applyFont="1" applyAlignment="1" applyProtection="1">
      <alignment horizontal="center" vertical="center"/>
    </xf>
    <xf numFmtId="167" fontId="2" fillId="0" borderId="1" xfId="0" applyNumberFormat="1" applyFont="1" applyFill="1" applyBorder="1" applyAlignment="1" applyProtection="1">
      <alignment horizontal="center" vertical="center"/>
    </xf>
    <xf numFmtId="0" fontId="1" fillId="0" borderId="2" xfId="0" applyFont="1" applyBorder="1" applyAlignment="1" applyProtection="1">
      <alignment horizontal="left" vertical="top"/>
    </xf>
    <xf numFmtId="0" fontId="1" fillId="0" borderId="5" xfId="0" applyFont="1" applyBorder="1" applyAlignment="1" applyProtection="1">
      <alignment horizontal="left" vertical="top"/>
    </xf>
    <xf numFmtId="0" fontId="1" fillId="0" borderId="3" xfId="0" applyFont="1" applyBorder="1" applyAlignment="1" applyProtection="1">
      <alignment horizontal="left" vertical="top"/>
    </xf>
    <xf numFmtId="0" fontId="2" fillId="0" borderId="0" xfId="0" applyFont="1" applyBorder="1" applyAlignment="1" applyProtection="1">
      <alignment horizontal="center" vertical="center"/>
    </xf>
    <xf numFmtId="0" fontId="2" fillId="0" borderId="10" xfId="0" applyFont="1" applyBorder="1" applyAlignment="1" applyProtection="1">
      <alignment horizontal="center" vertical="center"/>
    </xf>
    <xf numFmtId="166" fontId="2" fillId="0" borderId="1" xfId="0" applyNumberFormat="1" applyFont="1" applyBorder="1" applyAlignment="1" applyProtection="1">
      <alignment horizontal="center" vertical="center"/>
    </xf>
    <xf numFmtId="166" fontId="2" fillId="3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vertical="center"/>
    </xf>
    <xf numFmtId="0" fontId="1" fillId="0" borderId="5" xfId="0" applyFont="1" applyBorder="1" applyAlignment="1" applyProtection="1">
      <alignment vertical="center"/>
    </xf>
    <xf numFmtId="0" fontId="1" fillId="0" borderId="3" xfId="0" applyFont="1" applyBorder="1" applyAlignment="1" applyProtection="1">
      <alignment vertical="center"/>
    </xf>
    <xf numFmtId="0" fontId="1" fillId="0" borderId="2" xfId="0" applyFont="1" applyFill="1" applyBorder="1" applyAlignment="1" applyProtection="1">
      <alignment vertical="center"/>
    </xf>
    <xf numFmtId="0" fontId="1" fillId="0" borderId="5" xfId="0" applyFont="1" applyFill="1" applyBorder="1" applyAlignment="1" applyProtection="1">
      <alignment vertical="center"/>
    </xf>
    <xf numFmtId="0" fontId="1" fillId="0" borderId="3" xfId="0" applyFont="1" applyFill="1" applyBorder="1" applyAlignment="1" applyProtection="1">
      <alignment vertical="center"/>
    </xf>
    <xf numFmtId="164" fontId="2" fillId="3" borderId="1" xfId="0" applyNumberFormat="1" applyFont="1" applyFill="1" applyBorder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horizontal="right"/>
    </xf>
    <xf numFmtId="0" fontId="11" fillId="0" borderId="10" xfId="0" applyFont="1" applyBorder="1" applyAlignment="1" applyProtection="1">
      <alignment horizontal="right"/>
    </xf>
    <xf numFmtId="0" fontId="5" fillId="2" borderId="0" xfId="0" applyFont="1" applyFill="1" applyAlignment="1" applyProtection="1">
      <alignment horizontal="center" vertical="center" wrapText="1"/>
    </xf>
    <xf numFmtId="0" fontId="2" fillId="2" borderId="0" xfId="0" applyFont="1" applyFill="1" applyBorder="1" applyAlignment="1" applyProtection="1">
      <alignment horizontal="center" vertical="center" wrapText="1"/>
    </xf>
    <xf numFmtId="1" fontId="2" fillId="0" borderId="1" xfId="0" applyNumberFormat="1" applyFont="1" applyBorder="1" applyAlignment="1" applyProtection="1">
      <alignment horizontal="center" vertical="center" wrapText="1"/>
    </xf>
    <xf numFmtId="1" fontId="2" fillId="0" borderId="1" xfId="0" applyNumberFormat="1" applyFont="1" applyBorder="1" applyAlignment="1" applyProtection="1">
      <alignment horizontal="center" vertical="center"/>
    </xf>
    <xf numFmtId="166" fontId="2" fillId="0" borderId="1" xfId="0" applyNumberFormat="1" applyFont="1" applyBorder="1" applyAlignment="1" applyProtection="1">
      <alignment horizontal="center" vertical="center" wrapText="1"/>
    </xf>
    <xf numFmtId="164" fontId="10" fillId="3" borderId="1" xfId="0" applyNumberFormat="1" applyFont="1" applyFill="1" applyBorder="1" applyAlignment="1" applyProtection="1">
      <alignment horizontal="center" vertical="center"/>
      <protection locked="0"/>
    </xf>
    <xf numFmtId="0" fontId="2" fillId="3" borderId="1" xfId="0" applyNumberFormat="1" applyFont="1" applyFill="1" applyBorder="1" applyAlignment="1" applyProtection="1">
      <alignment horizontal="center" vertical="center"/>
      <protection locked="0"/>
    </xf>
    <xf numFmtId="0" fontId="0" fillId="4" borderId="2" xfId="0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3" borderId="1" xfId="0" applyFill="1" applyBorder="1" applyAlignment="1">
      <alignment horizontal="center" vertical="center" wrapText="1"/>
    </xf>
    <xf numFmtId="0" fontId="0" fillId="5" borderId="1" xfId="0" applyFill="1" applyBorder="1" applyAlignment="1">
      <alignment horizontal="left" vertical="center"/>
    </xf>
    <xf numFmtId="0" fontId="0" fillId="5" borderId="1" xfId="0" applyFill="1" applyBorder="1" applyAlignment="1">
      <alignment horizontal="center" vertical="center"/>
    </xf>
  </cellXfs>
  <cellStyles count="1">
    <cellStyle name="Обычный" xfId="0" builtinId="0"/>
  </cellStyles>
  <dxfs count="7"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914398</xdr:colOff>
      <xdr:row>30</xdr:row>
      <xdr:rowOff>54427</xdr:rowOff>
    </xdr:from>
    <xdr:to>
      <xdr:col>6</xdr:col>
      <xdr:colOff>953764</xdr:colOff>
      <xdr:row>55</xdr:row>
      <xdr:rowOff>97972</xdr:rowOff>
    </xdr:to>
    <xdr:pic>
      <xdr:nvPicPr>
        <xdr:cNvPr id="5" name="Рисунок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06884" y="7347856"/>
          <a:ext cx="2042337" cy="5812973"/>
        </a:xfrm>
        <a:prstGeom prst="rect">
          <a:avLst/>
        </a:prstGeom>
      </xdr:spPr>
    </xdr:pic>
    <xdr:clientData/>
  </xdr:twoCellAnchor>
  <xdr:twoCellAnchor>
    <xdr:from>
      <xdr:col>1</xdr:col>
      <xdr:colOff>337456</xdr:colOff>
      <xdr:row>30</xdr:row>
      <xdr:rowOff>78600</xdr:rowOff>
    </xdr:from>
    <xdr:to>
      <xdr:col>1</xdr:col>
      <xdr:colOff>2379793</xdr:colOff>
      <xdr:row>55</xdr:row>
      <xdr:rowOff>17047</xdr:rowOff>
    </xdr:to>
    <xdr:grpSp>
      <xdr:nvGrpSpPr>
        <xdr:cNvPr id="8" name="Группа 7"/>
        <xdr:cNvGrpSpPr/>
      </xdr:nvGrpSpPr>
      <xdr:grpSpPr>
        <a:xfrm>
          <a:off x="544285" y="7600629"/>
          <a:ext cx="2042337" cy="5707875"/>
          <a:chOff x="586409" y="7584503"/>
          <a:chExt cx="2042337" cy="5779343"/>
        </a:xfrm>
      </xdr:grpSpPr>
      <xdr:pic>
        <xdr:nvPicPr>
          <xdr:cNvPr id="9" name="Рисунок 8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586409" y="7584503"/>
            <a:ext cx="2042337" cy="5779343"/>
          </a:xfrm>
          <a:prstGeom prst="rect">
            <a:avLst/>
          </a:prstGeom>
        </xdr:spPr>
      </xdr:pic>
      <xdr:pic>
        <xdr:nvPicPr>
          <xdr:cNvPr id="10" name="Рисунок 9"/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1121229" y="8460615"/>
            <a:ext cx="493880" cy="166844"/>
          </a:xfrm>
          <a:prstGeom prst="rect">
            <a:avLst/>
          </a:prstGeom>
        </xdr:spPr>
      </xdr:pic>
      <xdr:pic>
        <xdr:nvPicPr>
          <xdr:cNvPr id="11" name="Рисунок 10"/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1121229" y="12164266"/>
            <a:ext cx="491067" cy="166882"/>
          </a:xfrm>
          <a:prstGeom prst="rect">
            <a:avLst/>
          </a:prstGeom>
        </xdr:spPr>
      </xdr:pic>
    </xdr:grpSp>
    <xdr:clientData/>
  </xdr:twoCellAnchor>
  <xdr:twoCellAnchor>
    <xdr:from>
      <xdr:col>1</xdr:col>
      <xdr:colOff>2914970</xdr:colOff>
      <xdr:row>29</xdr:row>
      <xdr:rowOff>108858</xdr:rowOff>
    </xdr:from>
    <xdr:to>
      <xdr:col>3</xdr:col>
      <xdr:colOff>973136</xdr:colOff>
      <xdr:row>54</xdr:row>
      <xdr:rowOff>169235</xdr:rowOff>
    </xdr:to>
    <xdr:grpSp>
      <xdr:nvGrpSpPr>
        <xdr:cNvPr id="12" name="Группа 11"/>
        <xdr:cNvGrpSpPr/>
      </xdr:nvGrpSpPr>
      <xdr:grpSpPr>
        <a:xfrm>
          <a:off x="3121799" y="7402287"/>
          <a:ext cx="2042337" cy="5829805"/>
          <a:chOff x="3228292" y="7415504"/>
          <a:chExt cx="2053695" cy="5904586"/>
        </a:xfrm>
      </xdr:grpSpPr>
      <xdr:pic>
        <xdr:nvPicPr>
          <xdr:cNvPr id="13" name="Рисунок 12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228292" y="7415504"/>
            <a:ext cx="2053695" cy="5904586"/>
          </a:xfrm>
          <a:prstGeom prst="rect">
            <a:avLst/>
          </a:prstGeom>
        </xdr:spPr>
      </xdr:pic>
      <xdr:pic>
        <xdr:nvPicPr>
          <xdr:cNvPr id="14" name="Рисунок 13"/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3816626" y="12247248"/>
            <a:ext cx="483912" cy="163413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B1:AF56"/>
  <sheetViews>
    <sheetView tabSelected="1" zoomScale="70" zoomScaleNormal="70" workbookViewId="0">
      <selection activeCell="F12" sqref="F12:G12"/>
    </sheetView>
  </sheetViews>
  <sheetFormatPr defaultColWidth="9.109375" defaultRowHeight="18" x14ac:dyDescent="0.35"/>
  <cols>
    <col min="1" max="1" width="3" style="5" customWidth="1"/>
    <col min="2" max="2" width="43.44140625" style="5" customWidth="1"/>
    <col min="3" max="6" width="14.6640625" style="4" customWidth="1"/>
    <col min="7" max="7" width="16.44140625" style="4" customWidth="1"/>
    <col min="8" max="8" width="2.6640625" style="5" customWidth="1"/>
    <col min="9" max="9" width="57.33203125" style="5" customWidth="1"/>
    <col min="10" max="10" width="29.33203125" style="5" customWidth="1"/>
    <col min="11" max="11" width="16.6640625" style="5" customWidth="1"/>
    <col min="12" max="13" width="19.5546875" style="5" customWidth="1"/>
    <col min="14" max="14" width="21.77734375" style="5" hidden="1" customWidth="1"/>
    <col min="15" max="15" width="21" style="5" hidden="1" customWidth="1"/>
    <col min="16" max="16" width="30.21875" style="5" hidden="1" customWidth="1"/>
    <col min="17" max="17" width="30" style="5" hidden="1" customWidth="1"/>
    <col min="18" max="18" width="19.109375" style="5" hidden="1" customWidth="1"/>
    <col min="19" max="19" width="18.109375" style="5" hidden="1" customWidth="1"/>
    <col min="20" max="20" width="25.88671875" style="5" hidden="1" customWidth="1"/>
    <col min="21" max="21" width="29.5546875" style="5" hidden="1" customWidth="1"/>
    <col min="22" max="23" width="9.109375" style="5" hidden="1" customWidth="1"/>
    <col min="24" max="24" width="22" style="5" customWidth="1"/>
    <col min="25" max="25" width="19.77734375" style="5" customWidth="1"/>
    <col min="26" max="29" width="9.109375" style="5" customWidth="1"/>
    <col min="30" max="30" width="14.77734375" style="5" customWidth="1"/>
    <col min="31" max="31" width="9.109375" style="5" customWidth="1"/>
    <col min="32" max="16384" width="9.109375" style="5"/>
  </cols>
  <sheetData>
    <row r="1" spans="2:32" x14ac:dyDescent="0.35">
      <c r="B1" s="3"/>
      <c r="T1" s="7"/>
      <c r="U1" s="6"/>
    </row>
    <row r="2" spans="2:32" s="6" customFormat="1" ht="27.6" customHeight="1" x14ac:dyDescent="0.3">
      <c r="B2" s="82" t="s">
        <v>24</v>
      </c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T2" s="7"/>
    </row>
    <row r="3" spans="2:32" s="7" customFormat="1" ht="26.1" customHeight="1" x14ac:dyDescent="0.3"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</row>
    <row r="4" spans="2:32" s="7" customFormat="1" ht="20.100000000000001" customHeight="1" x14ac:dyDescent="0.35">
      <c r="B4" s="8"/>
      <c r="C4" s="8"/>
      <c r="D4" s="8"/>
      <c r="E4" s="8"/>
      <c r="F4" s="8"/>
      <c r="G4" s="8"/>
      <c r="I4" s="9"/>
      <c r="J4" s="9"/>
      <c r="K4" s="9"/>
      <c r="L4" s="9"/>
      <c r="T4" s="10"/>
    </row>
    <row r="5" spans="2:32" s="7" customFormat="1" ht="20.100000000000001" customHeight="1" x14ac:dyDescent="0.3">
      <c r="B5" s="83" t="s">
        <v>4</v>
      </c>
      <c r="C5" s="83"/>
      <c r="D5" s="83"/>
      <c r="E5" s="83"/>
      <c r="F5" s="83"/>
      <c r="G5" s="83"/>
      <c r="I5" s="83" t="s">
        <v>3</v>
      </c>
      <c r="J5" s="83"/>
      <c r="K5" s="83"/>
      <c r="L5" s="83"/>
      <c r="M5" s="83"/>
      <c r="N5" s="83"/>
      <c r="T5" s="10"/>
    </row>
    <row r="6" spans="2:32" s="6" customFormat="1" ht="20.100000000000001" customHeight="1" x14ac:dyDescent="0.3">
      <c r="B6" s="11"/>
      <c r="C6" s="11"/>
      <c r="D6" s="11"/>
      <c r="E6" s="11"/>
      <c r="F6" s="11"/>
      <c r="G6" s="11"/>
      <c r="H6" s="7"/>
      <c r="I6" s="11"/>
      <c r="J6" s="11"/>
      <c r="K6" s="11"/>
      <c r="L6" s="11"/>
      <c r="T6" s="10"/>
    </row>
    <row r="7" spans="2:32" s="6" customFormat="1" ht="20.100000000000001" customHeight="1" x14ac:dyDescent="0.3">
      <c r="B7" s="76" t="s">
        <v>14</v>
      </c>
      <c r="C7" s="77"/>
      <c r="D7" s="77"/>
      <c r="E7" s="78"/>
      <c r="F7" s="79">
        <v>2600</v>
      </c>
      <c r="G7" s="79"/>
      <c r="I7" s="22" t="s">
        <v>125</v>
      </c>
      <c r="J7" s="23" t="s">
        <v>5</v>
      </c>
      <c r="K7" s="24" t="s">
        <v>0</v>
      </c>
      <c r="L7" s="25" t="s">
        <v>8</v>
      </c>
      <c r="M7" s="24" t="s">
        <v>7</v>
      </c>
      <c r="T7" s="24" t="s">
        <v>128</v>
      </c>
    </row>
    <row r="8" spans="2:32" s="6" customFormat="1" ht="21.6" customHeight="1" x14ac:dyDescent="0.3">
      <c r="B8" s="76" t="s">
        <v>15</v>
      </c>
      <c r="C8" s="77"/>
      <c r="D8" s="77"/>
      <c r="E8" s="78"/>
      <c r="F8" s="79">
        <v>2000</v>
      </c>
      <c r="G8" s="79"/>
      <c r="I8" s="26" t="s">
        <v>6</v>
      </c>
      <c r="J8" s="27" t="str">
        <f t="shared" ref="J8:J20" si="0">IF($F$10=$O$53,P8,Q8)</f>
        <v>SA0195.VP540.SLMAN.CJ</v>
      </c>
      <c r="K8" s="33">
        <f xml:space="preserve"> IF(OR(F11=O48,F11=O50),F7-90,F12-45)</f>
        <v>2505</v>
      </c>
      <c r="L8" s="34">
        <f>IF(F11=O50,(F13+1)*2,F13+1)</f>
        <v>4</v>
      </c>
      <c r="M8" s="86">
        <f>ROUNDUP((K8*L8+K9*L9+5*SUM(L8:L9))/5300,0)</f>
        <v>3</v>
      </c>
      <c r="O8" s="17"/>
      <c r="P8" s="6" t="str">
        <f>Прайс!$B$5</f>
        <v>SA0195.VP540.SLMAN.CJ</v>
      </c>
      <c r="Q8" s="6" t="str">
        <f>Прайс!$B$31</f>
        <v>SA0195.VP540.BKSPC.CJ</v>
      </c>
      <c r="R8" s="17"/>
      <c r="S8" s="17"/>
      <c r="T8" s="84">
        <f>IF(F10=O53,M8*Прайс!F5,M8*Прайс!F31)</f>
        <v>17964.638999999996</v>
      </c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</row>
    <row r="9" spans="2:32" s="6" customFormat="1" ht="20.100000000000001" customHeight="1" x14ac:dyDescent="0.3">
      <c r="B9" s="76" t="s">
        <v>47</v>
      </c>
      <c r="C9" s="77"/>
      <c r="D9" s="77"/>
      <c r="E9" s="78"/>
      <c r="F9" s="79">
        <v>420</v>
      </c>
      <c r="G9" s="79"/>
      <c r="I9" s="26" t="s">
        <v>6</v>
      </c>
      <c r="J9" s="27" t="str">
        <f t="shared" si="0"/>
        <v>SA0195.VP540.SLMAN.CJ</v>
      </c>
      <c r="K9" s="33">
        <f>IF(OR(F11=O48,F11=O49),F9/2-27,0)</f>
        <v>183</v>
      </c>
      <c r="L9" s="34">
        <f>IF(K9&lt;&gt;0,IF(OR(F11=O48,F11=O50),ROUNDUP(F7/1000,0)*L8,ROUNDUP(F12/1000,0)*L8),0)</f>
        <v>12</v>
      </c>
      <c r="M9" s="86"/>
      <c r="P9" s="6" t="str">
        <f>Прайс!$B$5</f>
        <v>SA0195.VP540.SLMAN.CJ</v>
      </c>
      <c r="Q9" s="6" t="str">
        <f>Прайс!$B$31</f>
        <v>SA0195.VP540.BKSPC.CJ</v>
      </c>
      <c r="T9" s="84"/>
    </row>
    <row r="10" spans="2:32" s="6" customFormat="1" ht="20.100000000000001" customHeight="1" x14ac:dyDescent="0.3">
      <c r="B10" s="76" t="s">
        <v>130</v>
      </c>
      <c r="C10" s="77"/>
      <c r="D10" s="77"/>
      <c r="E10" s="78"/>
      <c r="F10" s="79" t="s">
        <v>56</v>
      </c>
      <c r="G10" s="79"/>
      <c r="I10" s="26" t="s">
        <v>26</v>
      </c>
      <c r="J10" s="27" t="str">
        <f t="shared" si="0"/>
        <v>SA0198.VP540.SLMAN.CJ</v>
      </c>
      <c r="K10" s="33">
        <f>IF(C23&lt;&gt;0,C21-4,0)</f>
        <v>626</v>
      </c>
      <c r="L10" s="34">
        <f>C23</f>
        <v>1</v>
      </c>
      <c r="M10" s="71">
        <f>ROUNDUP((K10*L10+K11*L11+K12*L12+K13*L13+K14*L14+5*SUM(L10:L14))/5300,0)</f>
        <v>1</v>
      </c>
      <c r="P10" s="6" t="str">
        <f>Прайс!$B$7</f>
        <v>SA0198.VP540.SLMAN.CJ</v>
      </c>
      <c r="Q10" s="6" t="str">
        <f>Прайс!$B$33</f>
        <v>SA0198.VP540.BKSPC.CJ</v>
      </c>
      <c r="T10" s="85">
        <f>IF(F10=O53,M10*Прайс!F7,M10*Прайс!F33)</f>
        <v>2386.2960000000003</v>
      </c>
    </row>
    <row r="11" spans="2:32" s="6" customFormat="1" ht="20.100000000000001" customHeight="1" x14ac:dyDescent="0.3">
      <c r="B11" s="73" t="s">
        <v>9</v>
      </c>
      <c r="C11" s="74"/>
      <c r="D11" s="74"/>
      <c r="E11" s="75"/>
      <c r="F11" s="87" t="s">
        <v>11</v>
      </c>
      <c r="G11" s="87"/>
      <c r="I11" s="26" t="s">
        <v>27</v>
      </c>
      <c r="J11" s="27" t="str">
        <f t="shared" si="0"/>
        <v>SA0198.VP540.SLMAN.CJ</v>
      </c>
      <c r="K11" s="33">
        <f>IF(AND($F$13&gt;1,D23&lt;&gt;0),D21-4,0)</f>
        <v>596</v>
      </c>
      <c r="L11" s="34">
        <f>IF(F13&gt;1,D23,0)</f>
        <v>1</v>
      </c>
      <c r="M11" s="71"/>
      <c r="P11" s="6" t="str">
        <f>Прайс!$B$7</f>
        <v>SA0198.VP540.SLMAN.CJ</v>
      </c>
      <c r="Q11" s="6" t="str">
        <f>Прайс!$B$33</f>
        <v>SA0198.VP540.BKSPC.CJ</v>
      </c>
      <c r="T11" s="85"/>
    </row>
    <row r="12" spans="2:32" s="6" customFormat="1" ht="20.100000000000001" customHeight="1" x14ac:dyDescent="0.3">
      <c r="B12" s="73" t="s">
        <v>52</v>
      </c>
      <c r="C12" s="74"/>
      <c r="D12" s="74"/>
      <c r="E12" s="75"/>
      <c r="F12" s="79">
        <v>2550</v>
      </c>
      <c r="G12" s="79"/>
      <c r="I12" s="26" t="s">
        <v>28</v>
      </c>
      <c r="J12" s="27" t="str">
        <f t="shared" si="0"/>
        <v>SA0198.VP540.SLMAN.CJ</v>
      </c>
      <c r="K12" s="33">
        <f>IF(AND($F$13&gt;2,E23&lt;&gt;0),E21-4,0)</f>
        <v>596</v>
      </c>
      <c r="L12" s="34">
        <f>IF(F13&gt;2,E23,0)</f>
        <v>1</v>
      </c>
      <c r="M12" s="71"/>
      <c r="P12" s="6" t="str">
        <f>Прайс!$B$7</f>
        <v>SA0198.VP540.SLMAN.CJ</v>
      </c>
      <c r="Q12" s="6" t="str">
        <f>Прайс!$B$33</f>
        <v>SA0198.VP540.BKSPC.CJ</v>
      </c>
      <c r="T12" s="85"/>
      <c r="X12" s="13"/>
      <c r="Y12" s="13"/>
      <c r="Z12" s="13"/>
      <c r="AA12" s="13"/>
      <c r="AB12" s="13"/>
      <c r="AC12" s="13"/>
    </row>
    <row r="13" spans="2:32" s="6" customFormat="1" ht="20.100000000000001" customHeight="1" x14ac:dyDescent="0.3">
      <c r="B13" s="66" t="s">
        <v>13</v>
      </c>
      <c r="C13" s="67"/>
      <c r="D13" s="67"/>
      <c r="E13" s="68"/>
      <c r="F13" s="88">
        <v>3</v>
      </c>
      <c r="G13" s="88"/>
      <c r="I13" s="26" t="s">
        <v>29</v>
      </c>
      <c r="J13" s="27" t="str">
        <f t="shared" si="0"/>
        <v>SA0198.VP540.SLMAN.CJ</v>
      </c>
      <c r="K13" s="33">
        <f>IF(AND($F$13&gt;3,F23&lt;&gt;0),F21-4,0)</f>
        <v>0</v>
      </c>
      <c r="L13" s="34">
        <f>IF(F13&gt;3,F23,0)</f>
        <v>0</v>
      </c>
      <c r="M13" s="71"/>
      <c r="P13" s="6" t="str">
        <f>Прайс!$B$7</f>
        <v>SA0198.VP540.SLMAN.CJ</v>
      </c>
      <c r="Q13" s="6" t="str">
        <f>Прайс!$B$33</f>
        <v>SA0198.VP540.BKSPC.CJ</v>
      </c>
      <c r="T13" s="85"/>
      <c r="X13" s="13"/>
      <c r="Y13" s="13"/>
      <c r="Z13" s="13"/>
      <c r="AA13" s="13"/>
      <c r="AB13" s="13"/>
      <c r="AC13" s="13"/>
    </row>
    <row r="14" spans="2:32" s="6" customFormat="1" ht="20.100000000000001" customHeight="1" x14ac:dyDescent="0.3">
      <c r="B14" s="73" t="s">
        <v>48</v>
      </c>
      <c r="C14" s="74"/>
      <c r="D14" s="74"/>
      <c r="E14" s="75"/>
      <c r="F14" s="72">
        <v>0</v>
      </c>
      <c r="G14" s="72"/>
      <c r="I14" s="26" t="s">
        <v>30</v>
      </c>
      <c r="J14" s="27" t="str">
        <f t="shared" si="0"/>
        <v>SA0198.VP540.SLMAN.CJ</v>
      </c>
      <c r="K14" s="33">
        <f>IF(AND($F$13&gt;4,G23&lt;&gt;0),G21-4,0)</f>
        <v>0</v>
      </c>
      <c r="L14" s="34">
        <f>IF(F13&gt;4,G23,0)</f>
        <v>0</v>
      </c>
      <c r="M14" s="71"/>
      <c r="P14" s="6" t="str">
        <f>Прайс!$B$7</f>
        <v>SA0198.VP540.SLMAN.CJ</v>
      </c>
      <c r="Q14" s="6" t="str">
        <f>Прайс!$B$33</f>
        <v>SA0198.VP540.BKSPC.CJ</v>
      </c>
      <c r="T14" s="85"/>
      <c r="X14" s="13"/>
      <c r="Y14" s="13"/>
      <c r="Z14" s="13"/>
      <c r="AA14" s="13"/>
      <c r="AB14" s="13"/>
      <c r="AC14" s="13"/>
    </row>
    <row r="15" spans="2:32" s="6" customFormat="1" ht="20.100000000000001" customHeight="1" x14ac:dyDescent="0.3">
      <c r="B15" s="73" t="s">
        <v>49</v>
      </c>
      <c r="C15" s="74"/>
      <c r="D15" s="74"/>
      <c r="E15" s="75"/>
      <c r="F15" s="72">
        <v>0</v>
      </c>
      <c r="G15" s="72"/>
      <c r="I15" s="14" t="s">
        <v>31</v>
      </c>
      <c r="J15" s="27" t="str">
        <f t="shared" si="0"/>
        <v>SA0199.VP540.SLMAN.CJ</v>
      </c>
      <c r="K15" s="1">
        <f>IF(C22&lt;&gt;0,C21+42,0)</f>
        <v>0</v>
      </c>
      <c r="L15" s="35">
        <f>C22*2</f>
        <v>0</v>
      </c>
      <c r="M15" s="71">
        <f>ROUNDUP((K15*L15+K16*L16+K17*L17+K18*L18+K19*L19+5*SUM(L15:L19))/5300,0)</f>
        <v>1</v>
      </c>
      <c r="P15" s="6" t="str">
        <f>Прайс!$B$6</f>
        <v>SA0199.VP540.SLMAN.CJ</v>
      </c>
      <c r="Q15" s="6" t="str">
        <f>Прайс!$B$32</f>
        <v>SA0702.VP540.BKSPC.CJ</v>
      </c>
      <c r="T15" s="85">
        <f>IF(F10=O53,M15*Прайс!F6,M15*Прайс!F32)</f>
        <v>1530.8205</v>
      </c>
    </row>
    <row r="16" spans="2:32" s="6" customFormat="1" ht="20.100000000000001" customHeight="1" x14ac:dyDescent="0.3">
      <c r="B16" s="73" t="s">
        <v>50</v>
      </c>
      <c r="C16" s="74"/>
      <c r="D16" s="74"/>
      <c r="E16" s="75"/>
      <c r="F16" s="72">
        <v>0</v>
      </c>
      <c r="G16" s="72"/>
      <c r="I16" s="14" t="s">
        <v>32</v>
      </c>
      <c r="J16" s="27" t="str">
        <f t="shared" si="0"/>
        <v>SA0199.VP540.SLMAN.CJ</v>
      </c>
      <c r="K16" s="1">
        <f>IF(AND($F$13&gt;1,D22&lt;&gt;0),D21+42,0)</f>
        <v>0</v>
      </c>
      <c r="L16" s="35">
        <f>IF(F13&gt;1,D22*2,0)</f>
        <v>0</v>
      </c>
      <c r="M16" s="71"/>
      <c r="P16" s="6" t="str">
        <f>Прайс!$B$6</f>
        <v>SA0199.VP540.SLMAN.CJ</v>
      </c>
      <c r="Q16" s="6" t="str">
        <f>Прайс!$B$32</f>
        <v>SA0702.VP540.BKSPC.CJ</v>
      </c>
      <c r="T16" s="85"/>
    </row>
    <row r="17" spans="2:20" s="6" customFormat="1" ht="20.100000000000001" customHeight="1" thickBot="1" x14ac:dyDescent="0.35">
      <c r="B17" s="18"/>
      <c r="C17" s="18"/>
      <c r="D17" s="18"/>
      <c r="E17" s="18"/>
      <c r="F17" s="18"/>
      <c r="G17" s="18"/>
      <c r="I17" s="14" t="s">
        <v>33</v>
      </c>
      <c r="J17" s="27" t="str">
        <f t="shared" si="0"/>
        <v>SA0199.VP540.SLMAN.CJ</v>
      </c>
      <c r="K17" s="1">
        <f>IF(AND($F$13&gt;2,E22&lt;&gt;0),E21+42,0)</f>
        <v>642</v>
      </c>
      <c r="L17" s="35">
        <f>IF(F13&gt;2,E22*2,0)</f>
        <v>4</v>
      </c>
      <c r="M17" s="71"/>
      <c r="P17" s="6" t="str">
        <f>Прайс!$B$6</f>
        <v>SA0199.VP540.SLMAN.CJ</v>
      </c>
      <c r="Q17" s="6" t="str">
        <f>Прайс!$B$32</f>
        <v>SA0702.VP540.BKSPC.CJ</v>
      </c>
      <c r="T17" s="85"/>
    </row>
    <row r="18" spans="2:20" s="6" customFormat="1" ht="20.100000000000001" customHeight="1" thickBot="1" x14ac:dyDescent="0.35">
      <c r="B18" s="29" t="s">
        <v>25</v>
      </c>
      <c r="C18" s="30">
        <f>F8-50</f>
        <v>1950</v>
      </c>
      <c r="I18" s="14" t="s">
        <v>34</v>
      </c>
      <c r="J18" s="27" t="str">
        <f t="shared" si="0"/>
        <v>SA0199.VP540.SLMAN.CJ</v>
      </c>
      <c r="K18" s="1">
        <f>IF(AND($F$13&gt;3,F22&lt;&gt;0),F21+42,0)</f>
        <v>0</v>
      </c>
      <c r="L18" s="35">
        <f>IF(F13&gt;3,F22*2,0)</f>
        <v>0</v>
      </c>
      <c r="M18" s="71"/>
      <c r="P18" s="6" t="str">
        <f>Прайс!$B$6</f>
        <v>SA0199.VP540.SLMAN.CJ</v>
      </c>
      <c r="Q18" s="6" t="str">
        <f>Прайс!$B$32</f>
        <v>SA0702.VP540.BKSPC.CJ</v>
      </c>
      <c r="T18" s="85"/>
    </row>
    <row r="19" spans="2:20" s="6" customFormat="1" ht="20.100000000000001" customHeight="1" x14ac:dyDescent="0.3">
      <c r="I19" s="14" t="s">
        <v>35</v>
      </c>
      <c r="J19" s="27" t="str">
        <f t="shared" si="0"/>
        <v>SA0199.VP540.SLMAN.CJ</v>
      </c>
      <c r="K19" s="1">
        <f>IF(AND($F$13&gt;4,G22&lt;&gt;0),G21+42,0)</f>
        <v>0</v>
      </c>
      <c r="L19" s="35">
        <f>IF(F13&gt;4,G22*2,0)</f>
        <v>0</v>
      </c>
      <c r="M19" s="71"/>
      <c r="P19" s="6" t="str">
        <f>Прайс!$B$6</f>
        <v>SA0199.VP540.SLMAN.CJ</v>
      </c>
      <c r="Q19" s="6" t="str">
        <f>Прайс!$B$32</f>
        <v>SA0702.VP540.BKSPC.CJ</v>
      </c>
      <c r="T19" s="85"/>
    </row>
    <row r="20" spans="2:20" s="6" customFormat="1" ht="20.100000000000001" customHeight="1" x14ac:dyDescent="0.3">
      <c r="B20" s="18"/>
      <c r="C20" s="20" t="s">
        <v>16</v>
      </c>
      <c r="D20" s="20" t="s">
        <v>20</v>
      </c>
      <c r="E20" s="20" t="s">
        <v>21</v>
      </c>
      <c r="F20" s="20" t="s">
        <v>22</v>
      </c>
      <c r="G20" s="20" t="s">
        <v>23</v>
      </c>
      <c r="I20" s="14" t="s">
        <v>12</v>
      </c>
      <c r="J20" s="27" t="str">
        <f t="shared" si="0"/>
        <v>SA0196.VP540.SLMAN.CJ</v>
      </c>
      <c r="K20" s="1">
        <f>F9</f>
        <v>420</v>
      </c>
      <c r="L20" s="35">
        <f>F14*2+F16*4</f>
        <v>0</v>
      </c>
      <c r="M20" s="35">
        <f>ROUNDUP((K20*L20+5*L20)/5300,0)</f>
        <v>0</v>
      </c>
      <c r="P20" s="17" t="str">
        <f>Прайс!B4</f>
        <v>SA0196.VP540.SLMAN.CJ</v>
      </c>
      <c r="Q20" s="17" t="str">
        <f>Прайс!B30</f>
        <v>SA0196.VP540.BKSPC.CJ</v>
      </c>
      <c r="T20" s="59">
        <f>IF(F10=O53,M20*Прайс!F4,M20*Прайс!F30)</f>
        <v>0</v>
      </c>
    </row>
    <row r="21" spans="2:20" s="6" customFormat="1" ht="20.100000000000001" customHeight="1" x14ac:dyDescent="0.3">
      <c r="B21" s="21" t="s">
        <v>19</v>
      </c>
      <c r="C21" s="33">
        <f>IF(F13=1,C18-60,IF(F13=2,C18-90-D21,IF(F13=3,C18-120-SUM(D21:E21),IF(F13=4,C18-150-SUM(D21:F21),C18-180-SUM(D21:G21)))))</f>
        <v>630</v>
      </c>
      <c r="D21" s="16">
        <v>600</v>
      </c>
      <c r="E21" s="16">
        <v>600</v>
      </c>
      <c r="F21" s="16">
        <v>770</v>
      </c>
      <c r="G21" s="16">
        <v>750</v>
      </c>
      <c r="T21" s="2"/>
    </row>
    <row r="22" spans="2:20" s="6" customFormat="1" ht="20.100000000000001" customHeight="1" x14ac:dyDescent="0.3">
      <c r="B22" s="21" t="s">
        <v>17</v>
      </c>
      <c r="C22" s="19">
        <v>0</v>
      </c>
      <c r="D22" s="19">
        <v>0</v>
      </c>
      <c r="E22" s="19">
        <v>2</v>
      </c>
      <c r="F22" s="19">
        <v>2</v>
      </c>
      <c r="G22" s="19">
        <v>2</v>
      </c>
      <c r="I22" s="28" t="s">
        <v>2</v>
      </c>
      <c r="J22" s="23" t="s">
        <v>5</v>
      </c>
      <c r="K22" s="56" t="s">
        <v>1</v>
      </c>
      <c r="T22" s="56" t="s">
        <v>128</v>
      </c>
    </row>
    <row r="23" spans="2:20" x14ac:dyDescent="0.35">
      <c r="B23" s="21" t="s">
        <v>18</v>
      </c>
      <c r="C23" s="19">
        <v>1</v>
      </c>
      <c r="D23" s="19">
        <v>1</v>
      </c>
      <c r="E23" s="19">
        <v>1</v>
      </c>
      <c r="F23" s="19">
        <v>1</v>
      </c>
      <c r="G23" s="19">
        <v>1</v>
      </c>
      <c r="H23" s="6"/>
      <c r="I23" s="15" t="s">
        <v>44</v>
      </c>
      <c r="J23" s="12" t="str">
        <f t="shared" ref="J23:J32" si="1">IF($F$10=$O$53,P23,Q23)</f>
        <v>SA0026.AP000.SLMPC.CY</v>
      </c>
      <c r="K23" s="36">
        <f>IF(F13&lt;2,SUM(C24:C24),IF(F13&lt;3,SUM(C24:D24),IF(F13&lt;4,SUM(C24:E24),IF(F13&lt;5,SUM(C24:F24),SUM(C24:G24)))))</f>
        <v>4</v>
      </c>
      <c r="P23" s="5" t="str">
        <f>Прайс!B9</f>
        <v>SA0026.AP000.SLMPC.CY</v>
      </c>
      <c r="Q23" s="5" t="str">
        <f>Прайс!B20</f>
        <v>SA0026.AP000.BKSPC.CY</v>
      </c>
      <c r="T23" s="60">
        <f>IF($F$10=$O$53,K23*Прайс!F9,K23*Прайс!F20)</f>
        <v>8118.5280000000002</v>
      </c>
    </row>
    <row r="24" spans="2:20" x14ac:dyDescent="0.35">
      <c r="C24" s="63">
        <f>C22*2</f>
        <v>0</v>
      </c>
      <c r="D24" s="64">
        <f>IF((D22-E22)&lt;0,0,D22-IF(F13&lt;3,0,E22))+IF((D22-C22)&lt;0,0,D22-C22)</f>
        <v>0</v>
      </c>
      <c r="E24" s="64">
        <f>E22*2</f>
        <v>4</v>
      </c>
      <c r="F24" s="64">
        <f>IF((F22-G22)&lt;0,0,F22-IF(F13&lt;5,0,G22))+IF((F22-E22)&lt;0,0,F22-E22)</f>
        <v>2</v>
      </c>
      <c r="G24" s="63">
        <f>G22*2</f>
        <v>4</v>
      </c>
      <c r="H24" s="6"/>
      <c r="I24" s="15" t="s">
        <v>41</v>
      </c>
      <c r="J24" s="12" t="str">
        <f t="shared" si="1"/>
        <v>SA0030.VP000.SLM00.CY</v>
      </c>
      <c r="K24" s="32">
        <f>IF(F11=O49,L8,0)</f>
        <v>4</v>
      </c>
      <c r="P24" s="5" t="str">
        <f>Прайс!B10</f>
        <v>SA0030.VP000.SLM00.CY</v>
      </c>
      <c r="Q24" s="5" t="str">
        <f>Прайс!B21</f>
        <v>SA0030.VP000.BKM00.CY</v>
      </c>
      <c r="T24" s="60">
        <f>IF($F$10=$O$53,K24*Прайс!F10,K24*Прайс!F21)</f>
        <v>108.04200000000002</v>
      </c>
    </row>
    <row r="25" spans="2:20" x14ac:dyDescent="0.35">
      <c r="D25" s="62"/>
      <c r="E25" s="62"/>
      <c r="F25" s="62"/>
      <c r="G25" s="62"/>
      <c r="H25" s="6"/>
      <c r="I25" s="15" t="s">
        <v>42</v>
      </c>
      <c r="J25" s="12" t="str">
        <f t="shared" si="1"/>
        <v>SA0022.VR000.SLMPC.CY</v>
      </c>
      <c r="K25" s="31">
        <f>IF(F11=O50,L20,L20/2)</f>
        <v>0</v>
      </c>
      <c r="P25" s="5" t="str">
        <f>Прайс!B11</f>
        <v>SA0022.VR000.SLMPC.CY</v>
      </c>
      <c r="Q25" s="5" t="str">
        <f>Прайс!B22</f>
        <v>SA0022.VR000.BKSPC.CY</v>
      </c>
      <c r="T25" s="60">
        <f>IF($F$10=$O$53,K25*Прайс!F11,K25*Прайс!F22)</f>
        <v>0</v>
      </c>
    </row>
    <row r="26" spans="2:20" x14ac:dyDescent="0.35">
      <c r="B26" s="5" t="s">
        <v>51</v>
      </c>
      <c r="I26" s="15" t="s">
        <v>45</v>
      </c>
      <c r="J26" s="12" t="str">
        <f t="shared" si="1"/>
        <v>SA0262.AR000.SLM00.CY</v>
      </c>
      <c r="K26" s="65">
        <f>K23</f>
        <v>4</v>
      </c>
      <c r="P26" s="5" t="str">
        <f>Прайс!B12</f>
        <v>SA0262.AR000.SLM00.CY</v>
      </c>
      <c r="Q26" s="5" t="str">
        <f>Прайс!B23</f>
        <v>SA0262.AR000.BKM00.CY</v>
      </c>
      <c r="T26" s="60">
        <f>IF($F$10=$O$53,K26*Прайс!F12,K26*Прайс!F23)</f>
        <v>162.03</v>
      </c>
    </row>
    <row r="27" spans="2:20" ht="18.600000000000001" thickBot="1" x14ac:dyDescent="0.4">
      <c r="I27" s="15" t="s">
        <v>38</v>
      </c>
      <c r="J27" s="12" t="str">
        <f t="shared" si="1"/>
        <v>SA0023.VP000.SLMPC.CY</v>
      </c>
      <c r="K27" s="36">
        <f>IF(F11=O50,L20*2,L20)+IF(F11=O50,F15*4,F15*2)</f>
        <v>0</v>
      </c>
      <c r="P27" s="5" t="str">
        <f>Прайс!B13</f>
        <v>SA0023.VP000.SLMPC.CY</v>
      </c>
      <c r="Q27" s="5" t="str">
        <f>Прайс!B24</f>
        <v>SA0023.VP000.BKSPC.CY</v>
      </c>
      <c r="T27" s="60">
        <f>IF($F$10=$O$53,K27*Прайс!F13,K27*Прайс!F24)</f>
        <v>0</v>
      </c>
    </row>
    <row r="28" spans="2:20" x14ac:dyDescent="0.35">
      <c r="B28" s="38"/>
      <c r="C28" s="39"/>
      <c r="D28" s="39"/>
      <c r="E28" s="39"/>
      <c r="F28" s="39"/>
      <c r="G28" s="40"/>
      <c r="I28" s="15" t="s">
        <v>37</v>
      </c>
      <c r="J28" s="12" t="str">
        <f t="shared" si="1"/>
        <v>SA0032.VP000.SLMPC.CY</v>
      </c>
      <c r="K28" s="36">
        <f>L9</f>
        <v>12</v>
      </c>
      <c r="P28" s="5" t="str">
        <f>Прайс!B14</f>
        <v>SA0032.VP000.SLMPC.CY</v>
      </c>
      <c r="Q28" s="5" t="str">
        <f>Прайс!B25</f>
        <v>SA0032.VP000.BKSPC.CY</v>
      </c>
      <c r="T28" s="60">
        <f>IF($F$10=$O$53,K28*Прайс!F14,K28*Прайс!F25)</f>
        <v>4181.3639999999996</v>
      </c>
    </row>
    <row r="29" spans="2:20" x14ac:dyDescent="0.35">
      <c r="B29" s="41" t="s">
        <v>53</v>
      </c>
      <c r="C29" s="69" t="s">
        <v>54</v>
      </c>
      <c r="D29" s="69"/>
      <c r="E29" s="42"/>
      <c r="F29" s="69" t="s">
        <v>55</v>
      </c>
      <c r="G29" s="70"/>
      <c r="I29" s="15" t="s">
        <v>36</v>
      </c>
      <c r="J29" s="12" t="str">
        <f t="shared" si="1"/>
        <v>SA0020.VP000.SLMPC.CY</v>
      </c>
      <c r="K29" s="32">
        <f>IF(F11=O49,L8,L8*2)</f>
        <v>4</v>
      </c>
      <c r="P29" s="5" t="str">
        <f>Прайс!B15</f>
        <v>SA0020.VP000.SLMPC.CY</v>
      </c>
      <c r="Q29" s="5" t="str">
        <f>Прайс!B26</f>
        <v>SA0020.VP000.BKSPC.CY</v>
      </c>
      <c r="T29" s="60">
        <f>IF($F$10=$O$53,K29*Прайс!F15,K29*Прайс!F26)</f>
        <v>2865.2579999999994</v>
      </c>
    </row>
    <row r="30" spans="2:20" x14ac:dyDescent="0.35">
      <c r="B30" s="43"/>
      <c r="C30" s="42"/>
      <c r="D30" s="42"/>
      <c r="E30" s="42"/>
      <c r="F30" s="42"/>
      <c r="G30" s="44"/>
      <c r="I30" s="15" t="s">
        <v>40</v>
      </c>
      <c r="J30" s="12" t="str">
        <f t="shared" si="1"/>
        <v>SA0029.VP000.SLMPC.CY</v>
      </c>
      <c r="K30" s="32">
        <f>L9</f>
        <v>12</v>
      </c>
      <c r="P30" s="5" t="str">
        <f>Прайс!B16</f>
        <v>SA0029.VP000.SLMPC.CY</v>
      </c>
      <c r="Q30" s="5" t="str">
        <f>Прайс!B27</f>
        <v>SA0029.VP000.BKSPC.CY</v>
      </c>
      <c r="T30" s="60">
        <f>IF($F$10=$O$53,K30*Прайс!F16,K30*Прайс!F27)</f>
        <v>5304.8160000000007</v>
      </c>
    </row>
    <row r="31" spans="2:20" x14ac:dyDescent="0.35">
      <c r="B31" s="43"/>
      <c r="C31" s="42"/>
      <c r="D31" s="42"/>
      <c r="E31" s="42"/>
      <c r="F31" s="42"/>
      <c r="G31" s="44"/>
      <c r="I31" s="15" t="s">
        <v>43</v>
      </c>
      <c r="J31" s="12" t="str">
        <f t="shared" si="1"/>
        <v>SA0033.VM100.GR000.RK</v>
      </c>
      <c r="K31" s="37">
        <f>ROUNDUP((K10*L10+K11*L11+K12*L12+K13*L13+K14*L14)/1000*1.1,0)</f>
        <v>2</v>
      </c>
      <c r="P31" s="5" t="str">
        <f>Прайс!B17</f>
        <v>SA0033.VM100.GR000.RK</v>
      </c>
      <c r="Q31" s="5" t="str">
        <f>Прайс!B17</f>
        <v>SA0033.VM100.GR000.RK</v>
      </c>
      <c r="T31" s="60">
        <f>IF($F$10=$O$53,K31*Прайс!F17,K31*Прайс!F17)</f>
        <v>90.287999999999982</v>
      </c>
    </row>
    <row r="32" spans="2:20" x14ac:dyDescent="0.35">
      <c r="B32" s="43"/>
      <c r="C32" s="42"/>
      <c r="D32" s="42"/>
      <c r="E32" s="42"/>
      <c r="F32" s="42"/>
      <c r="G32" s="44"/>
      <c r="I32" s="15" t="s">
        <v>39</v>
      </c>
      <c r="J32" s="12" t="str">
        <f t="shared" si="1"/>
        <v>SA0021.VP000.SLMPC.CY</v>
      </c>
      <c r="K32" s="32">
        <f>SUM(L10:L14)*2</f>
        <v>6</v>
      </c>
      <c r="P32" s="5" t="str">
        <f>Прайс!B18</f>
        <v>SA0021.VP000.SLMPC.CY</v>
      </c>
      <c r="Q32" s="5" t="str">
        <f>Прайс!B28</f>
        <v>SA0021.VP000.BKSPC.CY</v>
      </c>
      <c r="T32" s="60">
        <f>IF($F$10=$O$53,K32*Прайс!F18,K32*Прайс!F28)</f>
        <v>2210.4719999999998</v>
      </c>
    </row>
    <row r="33" spans="2:22" x14ac:dyDescent="0.35">
      <c r="B33" s="43"/>
      <c r="C33" s="42"/>
      <c r="D33" s="42"/>
      <c r="E33" s="42"/>
      <c r="F33" s="42"/>
      <c r="G33" s="44"/>
    </row>
    <row r="34" spans="2:22" ht="18.600000000000001" thickBot="1" x14ac:dyDescent="0.4">
      <c r="B34" s="43"/>
      <c r="C34" s="42"/>
      <c r="D34" s="42"/>
      <c r="E34" s="42"/>
      <c r="F34" s="42"/>
      <c r="G34" s="44"/>
    </row>
    <row r="35" spans="2:22" ht="21.6" thickBot="1" x14ac:dyDescent="0.45">
      <c r="B35" s="43"/>
      <c r="C35" s="42"/>
      <c r="D35" s="42"/>
      <c r="E35" s="42"/>
      <c r="F35" s="42"/>
      <c r="G35" s="44"/>
      <c r="T35" s="80" t="s">
        <v>129</v>
      </c>
      <c r="U35" s="81"/>
      <c r="V35" s="61">
        <f>SUM(T23:T32)+SUM(T8:T20)</f>
        <v>44922.553500000002</v>
      </c>
    </row>
    <row r="36" spans="2:22" x14ac:dyDescent="0.35">
      <c r="B36" s="43"/>
      <c r="C36" s="42"/>
      <c r="D36" s="42"/>
      <c r="E36" s="42"/>
      <c r="F36" s="42"/>
      <c r="G36" s="44"/>
    </row>
    <row r="37" spans="2:22" x14ac:dyDescent="0.35">
      <c r="B37" s="43"/>
      <c r="C37" s="42"/>
      <c r="D37" s="42"/>
      <c r="E37" s="42"/>
      <c r="F37" s="42"/>
      <c r="G37" s="44"/>
    </row>
    <row r="38" spans="2:22" x14ac:dyDescent="0.35">
      <c r="B38" s="43"/>
      <c r="C38" s="42"/>
      <c r="D38" s="42"/>
      <c r="E38" s="42"/>
      <c r="F38" s="42"/>
      <c r="G38" s="44"/>
    </row>
    <row r="39" spans="2:22" x14ac:dyDescent="0.35">
      <c r="B39" s="43"/>
      <c r="C39" s="42"/>
      <c r="D39" s="42"/>
      <c r="E39" s="42"/>
      <c r="F39" s="42"/>
      <c r="G39" s="44"/>
    </row>
    <row r="40" spans="2:22" x14ac:dyDescent="0.35">
      <c r="B40" s="43"/>
      <c r="C40" s="42"/>
      <c r="D40" s="42"/>
      <c r="E40" s="42"/>
      <c r="F40" s="42"/>
      <c r="G40" s="44"/>
    </row>
    <row r="41" spans="2:22" x14ac:dyDescent="0.35">
      <c r="B41" s="43"/>
      <c r="C41" s="42"/>
      <c r="D41" s="42"/>
      <c r="E41" s="42"/>
      <c r="F41" s="42"/>
      <c r="G41" s="44"/>
    </row>
    <row r="42" spans="2:22" x14ac:dyDescent="0.35">
      <c r="B42" s="43"/>
      <c r="C42" s="42"/>
      <c r="D42" s="42"/>
      <c r="E42" s="42"/>
      <c r="F42" s="42"/>
      <c r="G42" s="44"/>
    </row>
    <row r="43" spans="2:22" x14ac:dyDescent="0.35">
      <c r="B43" s="43"/>
      <c r="C43" s="42"/>
      <c r="D43" s="42"/>
      <c r="E43" s="42"/>
      <c r="F43" s="42"/>
      <c r="G43" s="44"/>
    </row>
    <row r="44" spans="2:22" x14ac:dyDescent="0.35">
      <c r="B44" s="43"/>
      <c r="C44" s="42"/>
      <c r="D44" s="42"/>
      <c r="E44" s="42"/>
      <c r="F44" s="42"/>
      <c r="G44" s="44"/>
    </row>
    <row r="45" spans="2:22" x14ac:dyDescent="0.35">
      <c r="B45" s="43"/>
      <c r="C45" s="42"/>
      <c r="D45" s="42"/>
      <c r="E45" s="42"/>
      <c r="F45" s="42"/>
      <c r="G45" s="44"/>
    </row>
    <row r="46" spans="2:22" x14ac:dyDescent="0.35">
      <c r="B46" s="43"/>
      <c r="C46" s="42"/>
      <c r="D46" s="42"/>
      <c r="E46" s="42"/>
      <c r="F46" s="42"/>
      <c r="G46" s="44"/>
    </row>
    <row r="47" spans="2:22" x14ac:dyDescent="0.35">
      <c r="B47" s="43"/>
      <c r="C47" s="42"/>
      <c r="D47" s="42"/>
      <c r="E47" s="42"/>
      <c r="F47" s="42"/>
      <c r="G47" s="44"/>
    </row>
    <row r="48" spans="2:22" x14ac:dyDescent="0.35">
      <c r="B48" s="43"/>
      <c r="C48" s="42"/>
      <c r="D48" s="42"/>
      <c r="E48" s="42"/>
      <c r="F48" s="42"/>
      <c r="G48" s="44"/>
      <c r="O48" s="6" t="s">
        <v>10</v>
      </c>
    </row>
    <row r="49" spans="2:15" x14ac:dyDescent="0.35">
      <c r="B49" s="43"/>
      <c r="C49" s="42"/>
      <c r="D49" s="42"/>
      <c r="E49" s="42"/>
      <c r="F49" s="42"/>
      <c r="G49" s="44"/>
      <c r="O49" s="6" t="s">
        <v>11</v>
      </c>
    </row>
    <row r="50" spans="2:15" x14ac:dyDescent="0.35">
      <c r="B50" s="43"/>
      <c r="C50" s="42"/>
      <c r="D50" s="42"/>
      <c r="E50" s="42"/>
      <c r="F50" s="42"/>
      <c r="G50" s="44"/>
      <c r="O50" s="6" t="s">
        <v>46</v>
      </c>
    </row>
    <row r="51" spans="2:15" x14ac:dyDescent="0.35">
      <c r="B51" s="43"/>
      <c r="C51" s="42"/>
      <c r="D51" s="42"/>
      <c r="E51" s="42"/>
      <c r="F51" s="42"/>
      <c r="G51" s="44"/>
    </row>
    <row r="52" spans="2:15" x14ac:dyDescent="0.35">
      <c r="B52" s="43"/>
      <c r="C52" s="42"/>
      <c r="D52" s="42"/>
      <c r="E52" s="42"/>
      <c r="F52" s="42"/>
      <c r="G52" s="44"/>
    </row>
    <row r="53" spans="2:15" x14ac:dyDescent="0.35">
      <c r="B53" s="43"/>
      <c r="C53" s="42"/>
      <c r="D53" s="42"/>
      <c r="E53" s="42"/>
      <c r="F53" s="42"/>
      <c r="G53" s="44"/>
      <c r="O53" s="5" t="s">
        <v>56</v>
      </c>
    </row>
    <row r="54" spans="2:15" x14ac:dyDescent="0.35">
      <c r="B54" s="43"/>
      <c r="C54" s="42"/>
      <c r="D54" s="42"/>
      <c r="E54" s="42"/>
      <c r="F54" s="42"/>
      <c r="G54" s="44"/>
      <c r="O54" s="5" t="s">
        <v>57</v>
      </c>
    </row>
    <row r="55" spans="2:15" x14ac:dyDescent="0.35">
      <c r="B55" s="43"/>
      <c r="C55" s="42"/>
      <c r="D55" s="42"/>
      <c r="E55" s="42"/>
      <c r="F55" s="42"/>
      <c r="G55" s="44"/>
    </row>
    <row r="56" spans="2:15" ht="18.600000000000001" thickBot="1" x14ac:dyDescent="0.4">
      <c r="B56" s="45"/>
      <c r="C56" s="46"/>
      <c r="D56" s="46"/>
      <c r="E56" s="46"/>
      <c r="F56" s="46"/>
      <c r="G56" s="47"/>
    </row>
  </sheetData>
  <sheetProtection algorithmName="SHA-512" hashValue="SQxfmDCrGD09MwFzt8B/AJK17o2JMb56X0hYgBX8gqQJI1OlgVBfEy1GOHWeyqEDTOIORvQ4D3AyPS6H5wA/vQ==" saltValue="iXUaEPJbSzpJ6xses3Chgw==" spinCount="100000" sheet="1" objects="1" scenarios="1" selectLockedCells="1"/>
  <mergeCells count="32">
    <mergeCell ref="T35:U35"/>
    <mergeCell ref="B2:N3"/>
    <mergeCell ref="I5:N5"/>
    <mergeCell ref="T8:T9"/>
    <mergeCell ref="T10:T14"/>
    <mergeCell ref="T15:T19"/>
    <mergeCell ref="M8:M9"/>
    <mergeCell ref="B15:E15"/>
    <mergeCell ref="F15:G15"/>
    <mergeCell ref="F11:G11"/>
    <mergeCell ref="F12:G12"/>
    <mergeCell ref="F13:G13"/>
    <mergeCell ref="F7:G7"/>
    <mergeCell ref="F8:G8"/>
    <mergeCell ref="B5:G5"/>
    <mergeCell ref="B9:E9"/>
    <mergeCell ref="F9:G9"/>
    <mergeCell ref="B7:E7"/>
    <mergeCell ref="B8:E8"/>
    <mergeCell ref="B11:E11"/>
    <mergeCell ref="B12:E12"/>
    <mergeCell ref="B13:E13"/>
    <mergeCell ref="C29:D29"/>
    <mergeCell ref="F29:G29"/>
    <mergeCell ref="M10:M14"/>
    <mergeCell ref="M15:M19"/>
    <mergeCell ref="F14:G14"/>
    <mergeCell ref="F16:G16"/>
    <mergeCell ref="B14:E14"/>
    <mergeCell ref="B16:E16"/>
    <mergeCell ref="B10:E10"/>
    <mergeCell ref="F10:G10"/>
  </mergeCells>
  <conditionalFormatting sqref="C21">
    <cfRule type="expression" dxfId="6" priority="5">
      <formula>$C$21&gt;1200</formula>
    </cfRule>
    <cfRule type="expression" dxfId="5" priority="6">
      <formula>$C$21&lt;200</formula>
    </cfRule>
  </conditionalFormatting>
  <conditionalFormatting sqref="G20:G23">
    <cfRule type="expression" dxfId="4" priority="4">
      <formula>$F$13&lt;5</formula>
    </cfRule>
  </conditionalFormatting>
  <conditionalFormatting sqref="F20:F23">
    <cfRule type="expression" dxfId="3" priority="3">
      <formula>$F$13&lt;4</formula>
    </cfRule>
  </conditionalFormatting>
  <conditionalFormatting sqref="E20:E23">
    <cfRule type="expression" dxfId="2" priority="2">
      <formula>$F$13&lt;3</formula>
    </cfRule>
  </conditionalFormatting>
  <conditionalFormatting sqref="D20:D23">
    <cfRule type="expression" dxfId="1" priority="1">
      <formula>$F$13&lt;2</formula>
    </cfRule>
  </conditionalFormatting>
  <conditionalFormatting sqref="B12:G12">
    <cfRule type="expression" dxfId="0" priority="10">
      <formula>OR($F$11=$O$48,$F$11=$O$50)</formula>
    </cfRule>
  </conditionalFormatting>
  <dataValidations count="7">
    <dataValidation type="whole" allowBlank="1" showInputMessage="1" showErrorMessage="1" errorTitle="Неправильное количество" error="Максимально 5 секций" sqref="F13:G13">
      <formula1>1</formula1>
      <formula2>5</formula2>
    </dataValidation>
    <dataValidation type="custom" allowBlank="1" showInputMessage="1" showErrorMessage="1" errorTitle="Неправильная высота" error="Введите значение на 50 мм меньше высоты проема" sqref="F12:G12">
      <formula1>(F12+50)&lt;=F7</formula1>
    </dataValidation>
    <dataValidation type="whole" allowBlank="1" showInputMessage="1" showErrorMessage="1" sqref="F9:G9">
      <formula1>170</formula1>
      <formula2>600</formula2>
    </dataValidation>
    <dataValidation type="whole" allowBlank="1" showInputMessage="1" showErrorMessage="1" errorTitle="Неправильное количество" error="Не более 4 шт" sqref="C23:G23">
      <formula1>0</formula1>
      <formula2>4</formula2>
    </dataValidation>
    <dataValidation type="whole" allowBlank="1" showInputMessage="1" showErrorMessage="1" errorTitle="Неправильное количество" error="Не более 10 шт" sqref="C22:G22">
      <formula1>0</formula1>
      <formula2>10</formula2>
    </dataValidation>
    <dataValidation type="list" allowBlank="1" showInputMessage="1" showErrorMessage="1" sqref="F11:G11">
      <formula1>$O$48:$O$50</formula1>
    </dataValidation>
    <dataValidation type="list" allowBlank="1" showInputMessage="1" showErrorMessage="1" sqref="F10:G10">
      <formula1>$O$53:$O$54</formula1>
    </dataValidation>
  </dataValidations>
  <printOptions horizontalCentered="1"/>
  <pageMargins left="0.39370078740157483" right="0.39370078740157483" top="0.39370078740157483" bottom="0.39370078740157483" header="0" footer="0"/>
  <pageSetup paperSize="9" scale="49" orientation="landscape" r:id="rId1"/>
  <ignoredErrors>
    <ignoredError sqref="D24:F24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workbookViewId="0">
      <selection activeCell="E24" sqref="E24"/>
    </sheetView>
  </sheetViews>
  <sheetFormatPr defaultRowHeight="14.4" x14ac:dyDescent="0.3"/>
  <cols>
    <col min="1" max="1" width="56.21875" style="55" customWidth="1"/>
    <col min="2" max="2" width="22.6640625" style="48" customWidth="1"/>
    <col min="3" max="3" width="17.21875" style="48" customWidth="1"/>
    <col min="4" max="4" width="9.21875" style="48" customWidth="1"/>
    <col min="5" max="5" width="14.44140625" style="48" customWidth="1"/>
    <col min="6" max="6" width="18" customWidth="1"/>
    <col min="7" max="7" width="11" customWidth="1"/>
    <col min="8" max="8" width="12.6640625" customWidth="1"/>
    <col min="9" max="9" width="10" customWidth="1"/>
  </cols>
  <sheetData>
    <row r="1" spans="1:9" ht="15" thickBot="1" x14ac:dyDescent="0.35">
      <c r="A1" s="93" t="s">
        <v>66</v>
      </c>
      <c r="B1" s="94" t="s">
        <v>67</v>
      </c>
      <c r="C1" s="94" t="s">
        <v>68</v>
      </c>
      <c r="D1" s="94"/>
      <c r="E1" s="94" t="s">
        <v>69</v>
      </c>
      <c r="F1" s="92" t="s">
        <v>127</v>
      </c>
    </row>
    <row r="2" spans="1:9" ht="15" thickBot="1" x14ac:dyDescent="0.35">
      <c r="A2" s="93"/>
      <c r="B2" s="94"/>
      <c r="C2" s="49" t="s">
        <v>70</v>
      </c>
      <c r="D2" s="49" t="s">
        <v>71</v>
      </c>
      <c r="E2" s="94"/>
      <c r="F2" s="92"/>
      <c r="H2" t="s">
        <v>126</v>
      </c>
      <c r="I2" s="58">
        <v>2.75</v>
      </c>
    </row>
    <row r="3" spans="1:9" x14ac:dyDescent="0.3">
      <c r="A3" s="89" t="s">
        <v>74</v>
      </c>
      <c r="B3" s="90"/>
      <c r="C3" s="90"/>
      <c r="D3" s="90"/>
      <c r="E3" s="91"/>
      <c r="F3" s="57"/>
    </row>
    <row r="4" spans="1:9" x14ac:dyDescent="0.3">
      <c r="A4" s="54" t="s">
        <v>75</v>
      </c>
      <c r="B4" s="50" t="s">
        <v>58</v>
      </c>
      <c r="C4" s="51">
        <v>1391.69</v>
      </c>
      <c r="D4" s="50" t="s">
        <v>72</v>
      </c>
      <c r="E4" s="52">
        <f t="shared" ref="E4:E33" si="0">C4-(C4/100*40)</f>
        <v>835.01400000000001</v>
      </c>
      <c r="F4" s="57">
        <f>E4*$I$2</f>
        <v>2296.2885000000001</v>
      </c>
    </row>
    <row r="5" spans="1:9" x14ac:dyDescent="0.3">
      <c r="A5" s="54" t="s">
        <v>76</v>
      </c>
      <c r="B5" s="50" t="s">
        <v>59</v>
      </c>
      <c r="C5" s="51">
        <v>3629.22</v>
      </c>
      <c r="D5" s="50" t="s">
        <v>72</v>
      </c>
      <c r="E5" s="52">
        <f t="shared" si="0"/>
        <v>2177.5319999999997</v>
      </c>
      <c r="F5" s="57">
        <f t="shared" ref="F5:F33" si="1">E5*$I$2</f>
        <v>5988.2129999999988</v>
      </c>
    </row>
    <row r="6" spans="1:9" x14ac:dyDescent="0.3">
      <c r="A6" s="54" t="s">
        <v>77</v>
      </c>
      <c r="B6" s="50" t="s">
        <v>60</v>
      </c>
      <c r="C6" s="53">
        <v>927.77</v>
      </c>
      <c r="D6" s="50" t="s">
        <v>72</v>
      </c>
      <c r="E6" s="52">
        <f t="shared" si="0"/>
        <v>556.66200000000003</v>
      </c>
      <c r="F6" s="57">
        <f t="shared" si="1"/>
        <v>1530.8205</v>
      </c>
    </row>
    <row r="7" spans="1:9" x14ac:dyDescent="0.3">
      <c r="A7" s="54" t="s">
        <v>78</v>
      </c>
      <c r="B7" s="50" t="s">
        <v>61</v>
      </c>
      <c r="C7" s="51">
        <v>1446.24</v>
      </c>
      <c r="D7" s="50" t="s">
        <v>72</v>
      </c>
      <c r="E7" s="52">
        <f t="shared" si="0"/>
        <v>867.74400000000003</v>
      </c>
      <c r="F7" s="57">
        <f t="shared" si="1"/>
        <v>2386.2960000000003</v>
      </c>
    </row>
    <row r="8" spans="1:9" x14ac:dyDescent="0.3">
      <c r="A8" s="89" t="s">
        <v>79</v>
      </c>
      <c r="B8" s="90"/>
      <c r="C8" s="90"/>
      <c r="D8" s="90"/>
      <c r="E8" s="91"/>
      <c r="F8" s="57">
        <f t="shared" si="1"/>
        <v>0</v>
      </c>
    </row>
    <row r="9" spans="1:9" x14ac:dyDescent="0.3">
      <c r="A9" s="54" t="s">
        <v>80</v>
      </c>
      <c r="B9" s="50" t="s">
        <v>81</v>
      </c>
      <c r="C9" s="51">
        <v>1230.08</v>
      </c>
      <c r="D9" s="50" t="s">
        <v>72</v>
      </c>
      <c r="E9" s="52">
        <f t="shared" si="0"/>
        <v>738.048</v>
      </c>
      <c r="F9" s="57">
        <f t="shared" si="1"/>
        <v>2029.6320000000001</v>
      </c>
    </row>
    <row r="10" spans="1:9" x14ac:dyDescent="0.3">
      <c r="A10" s="54" t="s">
        <v>82</v>
      </c>
      <c r="B10" s="50" t="s">
        <v>83</v>
      </c>
      <c r="C10" s="53">
        <v>16.37</v>
      </c>
      <c r="D10" s="50" t="s">
        <v>72</v>
      </c>
      <c r="E10" s="52">
        <f t="shared" si="0"/>
        <v>9.822000000000001</v>
      </c>
      <c r="F10" s="57">
        <f t="shared" si="1"/>
        <v>27.010500000000004</v>
      </c>
    </row>
    <row r="11" spans="1:9" x14ac:dyDescent="0.3">
      <c r="A11" s="54" t="s">
        <v>84</v>
      </c>
      <c r="B11" s="50" t="s">
        <v>85</v>
      </c>
      <c r="C11" s="53">
        <v>193.5</v>
      </c>
      <c r="D11" s="50" t="s">
        <v>73</v>
      </c>
      <c r="E11" s="52">
        <f t="shared" si="0"/>
        <v>116.1</v>
      </c>
      <c r="F11" s="57">
        <f t="shared" si="1"/>
        <v>319.27499999999998</v>
      </c>
    </row>
    <row r="12" spans="1:9" x14ac:dyDescent="0.3">
      <c r="A12" s="54" t="s">
        <v>86</v>
      </c>
      <c r="B12" s="50" t="s">
        <v>87</v>
      </c>
      <c r="C12" s="53">
        <v>24.55</v>
      </c>
      <c r="D12" s="50" t="s">
        <v>73</v>
      </c>
      <c r="E12" s="52">
        <f t="shared" si="0"/>
        <v>14.73</v>
      </c>
      <c r="F12" s="57">
        <f t="shared" si="1"/>
        <v>40.5075</v>
      </c>
    </row>
    <row r="13" spans="1:9" x14ac:dyDescent="0.3">
      <c r="A13" s="54" t="s">
        <v>88</v>
      </c>
      <c r="B13" s="50" t="s">
        <v>89</v>
      </c>
      <c r="C13" s="53">
        <v>328.92</v>
      </c>
      <c r="D13" s="50" t="s">
        <v>72</v>
      </c>
      <c r="E13" s="52">
        <f t="shared" si="0"/>
        <v>197.352</v>
      </c>
      <c r="F13" s="57">
        <f t="shared" si="1"/>
        <v>542.71799999999996</v>
      </c>
    </row>
    <row r="14" spans="1:9" x14ac:dyDescent="0.3">
      <c r="A14" s="54" t="s">
        <v>90</v>
      </c>
      <c r="B14" s="50" t="s">
        <v>91</v>
      </c>
      <c r="C14" s="53">
        <v>211.18</v>
      </c>
      <c r="D14" s="50" t="s">
        <v>72</v>
      </c>
      <c r="E14" s="52">
        <f t="shared" si="0"/>
        <v>126.708</v>
      </c>
      <c r="F14" s="57">
        <f t="shared" si="1"/>
        <v>348.447</v>
      </c>
    </row>
    <row r="15" spans="1:9" x14ac:dyDescent="0.3">
      <c r="A15" s="54" t="s">
        <v>92</v>
      </c>
      <c r="B15" s="50" t="s">
        <v>93</v>
      </c>
      <c r="C15" s="53">
        <v>434.13</v>
      </c>
      <c r="D15" s="50" t="s">
        <v>72</v>
      </c>
      <c r="E15" s="52">
        <f t="shared" si="0"/>
        <v>260.47799999999995</v>
      </c>
      <c r="F15" s="57">
        <f t="shared" si="1"/>
        <v>716.31449999999984</v>
      </c>
    </row>
    <row r="16" spans="1:9" x14ac:dyDescent="0.3">
      <c r="A16" s="54" t="s">
        <v>94</v>
      </c>
      <c r="B16" s="50" t="s">
        <v>95</v>
      </c>
      <c r="C16" s="53">
        <v>267.92</v>
      </c>
      <c r="D16" s="50" t="s">
        <v>72</v>
      </c>
      <c r="E16" s="52">
        <f t="shared" si="0"/>
        <v>160.75200000000001</v>
      </c>
      <c r="F16" s="57">
        <f t="shared" si="1"/>
        <v>442.06800000000004</v>
      </c>
    </row>
    <row r="17" spans="1:6" x14ac:dyDescent="0.3">
      <c r="A17" s="54" t="s">
        <v>96</v>
      </c>
      <c r="B17" s="50" t="s">
        <v>97</v>
      </c>
      <c r="C17" s="53">
        <v>27.36</v>
      </c>
      <c r="D17" s="50" t="s">
        <v>98</v>
      </c>
      <c r="E17" s="52">
        <f t="shared" si="0"/>
        <v>16.415999999999997</v>
      </c>
      <c r="F17" s="57">
        <f t="shared" si="1"/>
        <v>45.143999999999991</v>
      </c>
    </row>
    <row r="18" spans="1:6" x14ac:dyDescent="0.3">
      <c r="A18" s="54" t="s">
        <v>99</v>
      </c>
      <c r="B18" s="50" t="s">
        <v>100</v>
      </c>
      <c r="C18" s="53">
        <v>223.28</v>
      </c>
      <c r="D18" s="50" t="s">
        <v>72</v>
      </c>
      <c r="E18" s="52">
        <f t="shared" si="0"/>
        <v>133.96799999999999</v>
      </c>
      <c r="F18" s="57">
        <f t="shared" si="1"/>
        <v>368.41199999999998</v>
      </c>
    </row>
    <row r="19" spans="1:6" x14ac:dyDescent="0.3">
      <c r="A19" s="89" t="s">
        <v>101</v>
      </c>
      <c r="B19" s="90"/>
      <c r="C19" s="90"/>
      <c r="D19" s="90"/>
      <c r="E19" s="91"/>
      <c r="F19" s="57">
        <f t="shared" si="1"/>
        <v>0</v>
      </c>
    </row>
    <row r="20" spans="1:6" x14ac:dyDescent="0.3">
      <c r="A20" s="54" t="s">
        <v>102</v>
      </c>
      <c r="B20" s="50" t="s">
        <v>103</v>
      </c>
      <c r="C20" s="51">
        <v>1230.08</v>
      </c>
      <c r="D20" s="50" t="s">
        <v>72</v>
      </c>
      <c r="E20" s="52">
        <f t="shared" si="0"/>
        <v>738.048</v>
      </c>
      <c r="F20" s="57">
        <f t="shared" si="1"/>
        <v>2029.6320000000001</v>
      </c>
    </row>
    <row r="21" spans="1:6" x14ac:dyDescent="0.3">
      <c r="A21" s="54" t="s">
        <v>104</v>
      </c>
      <c r="B21" s="50" t="s">
        <v>105</v>
      </c>
      <c r="C21" s="53">
        <v>16.37</v>
      </c>
      <c r="D21" s="50" t="s">
        <v>72</v>
      </c>
      <c r="E21" s="52">
        <f t="shared" si="0"/>
        <v>9.822000000000001</v>
      </c>
      <c r="F21" s="57">
        <f t="shared" si="1"/>
        <v>27.010500000000004</v>
      </c>
    </row>
    <row r="22" spans="1:6" x14ac:dyDescent="0.3">
      <c r="A22" s="54" t="s">
        <v>106</v>
      </c>
      <c r="B22" s="50" t="s">
        <v>107</v>
      </c>
      <c r="C22" s="53">
        <v>193.5</v>
      </c>
      <c r="D22" s="50" t="s">
        <v>73</v>
      </c>
      <c r="E22" s="52">
        <f t="shared" si="0"/>
        <v>116.1</v>
      </c>
      <c r="F22" s="57">
        <f t="shared" si="1"/>
        <v>319.27499999999998</v>
      </c>
    </row>
    <row r="23" spans="1:6" x14ac:dyDescent="0.3">
      <c r="A23" s="54" t="s">
        <v>108</v>
      </c>
      <c r="B23" s="50" t="s">
        <v>109</v>
      </c>
      <c r="C23" s="53">
        <v>24.55</v>
      </c>
      <c r="D23" s="50" t="s">
        <v>73</v>
      </c>
      <c r="E23" s="52">
        <f t="shared" si="0"/>
        <v>14.73</v>
      </c>
      <c r="F23" s="57">
        <f t="shared" si="1"/>
        <v>40.5075</v>
      </c>
    </row>
    <row r="24" spans="1:6" x14ac:dyDescent="0.3">
      <c r="A24" s="54" t="s">
        <v>110</v>
      </c>
      <c r="B24" s="50" t="s">
        <v>111</v>
      </c>
      <c r="C24" s="53">
        <v>328.92</v>
      </c>
      <c r="D24" s="50" t="s">
        <v>72</v>
      </c>
      <c r="E24" s="52">
        <f t="shared" si="0"/>
        <v>197.352</v>
      </c>
      <c r="F24" s="57">
        <f t="shared" si="1"/>
        <v>542.71799999999996</v>
      </c>
    </row>
    <row r="25" spans="1:6" x14ac:dyDescent="0.3">
      <c r="A25" s="54" t="s">
        <v>112</v>
      </c>
      <c r="B25" s="50" t="s">
        <v>113</v>
      </c>
      <c r="C25" s="53">
        <v>211.18</v>
      </c>
      <c r="D25" s="50" t="s">
        <v>72</v>
      </c>
      <c r="E25" s="52">
        <f t="shared" si="0"/>
        <v>126.708</v>
      </c>
      <c r="F25" s="57">
        <f t="shared" si="1"/>
        <v>348.447</v>
      </c>
    </row>
    <row r="26" spans="1:6" x14ac:dyDescent="0.3">
      <c r="A26" s="54" t="s">
        <v>114</v>
      </c>
      <c r="B26" s="50" t="s">
        <v>115</v>
      </c>
      <c r="C26" s="53">
        <v>434.07</v>
      </c>
      <c r="D26" s="50" t="s">
        <v>72</v>
      </c>
      <c r="E26" s="52">
        <f t="shared" si="0"/>
        <v>260.44200000000001</v>
      </c>
      <c r="F26" s="57">
        <f t="shared" si="1"/>
        <v>716.21550000000002</v>
      </c>
    </row>
    <row r="27" spans="1:6" x14ac:dyDescent="0.3">
      <c r="A27" s="54" t="s">
        <v>116</v>
      </c>
      <c r="B27" s="50" t="s">
        <v>117</v>
      </c>
      <c r="C27" s="53">
        <v>267.92</v>
      </c>
      <c r="D27" s="50" t="s">
        <v>72</v>
      </c>
      <c r="E27" s="52">
        <f t="shared" si="0"/>
        <v>160.75200000000001</v>
      </c>
      <c r="F27" s="57">
        <f t="shared" si="1"/>
        <v>442.06800000000004</v>
      </c>
    </row>
    <row r="28" spans="1:6" x14ac:dyDescent="0.3">
      <c r="A28" s="54" t="s">
        <v>118</v>
      </c>
      <c r="B28" s="50" t="s">
        <v>119</v>
      </c>
      <c r="C28" s="53">
        <v>223.28</v>
      </c>
      <c r="D28" s="50" t="s">
        <v>72</v>
      </c>
      <c r="E28" s="52">
        <f t="shared" si="0"/>
        <v>133.96799999999999</v>
      </c>
      <c r="F28" s="57">
        <f t="shared" si="1"/>
        <v>368.41199999999998</v>
      </c>
    </row>
    <row r="29" spans="1:6" x14ac:dyDescent="0.3">
      <c r="A29" s="89" t="s">
        <v>120</v>
      </c>
      <c r="B29" s="90"/>
      <c r="C29" s="90"/>
      <c r="D29" s="90"/>
      <c r="E29" s="91"/>
      <c r="F29" s="57">
        <f t="shared" si="1"/>
        <v>0</v>
      </c>
    </row>
    <row r="30" spans="1:6" x14ac:dyDescent="0.3">
      <c r="A30" s="54" t="s">
        <v>121</v>
      </c>
      <c r="B30" s="50" t="s">
        <v>62</v>
      </c>
      <c r="C30" s="51">
        <v>1436.48</v>
      </c>
      <c r="D30" s="50" t="s">
        <v>72</v>
      </c>
      <c r="E30" s="52">
        <f t="shared" si="0"/>
        <v>861.88800000000003</v>
      </c>
      <c r="F30" s="57">
        <f t="shared" si="1"/>
        <v>2370.192</v>
      </c>
    </row>
    <row r="31" spans="1:6" x14ac:dyDescent="0.3">
      <c r="A31" s="54" t="s">
        <v>122</v>
      </c>
      <c r="B31" s="50" t="s">
        <v>63</v>
      </c>
      <c r="C31" s="51">
        <v>3763.17</v>
      </c>
      <c r="D31" s="50" t="s">
        <v>72</v>
      </c>
      <c r="E31" s="52">
        <f t="shared" si="0"/>
        <v>2257.902</v>
      </c>
      <c r="F31" s="57">
        <f t="shared" si="1"/>
        <v>6209.2304999999997</v>
      </c>
    </row>
    <row r="32" spans="1:6" x14ac:dyDescent="0.3">
      <c r="A32" s="54" t="s">
        <v>123</v>
      </c>
      <c r="B32" s="50" t="s">
        <v>64</v>
      </c>
      <c r="C32" s="53">
        <v>960.5</v>
      </c>
      <c r="D32" s="50" t="s">
        <v>72</v>
      </c>
      <c r="E32" s="52">
        <f t="shared" si="0"/>
        <v>576.29999999999995</v>
      </c>
      <c r="F32" s="57">
        <f t="shared" si="1"/>
        <v>1584.8249999999998</v>
      </c>
    </row>
    <row r="33" spans="1:6" x14ac:dyDescent="0.3">
      <c r="A33" s="54" t="s">
        <v>124</v>
      </c>
      <c r="B33" s="50" t="s">
        <v>65</v>
      </c>
      <c r="C33" s="51">
        <v>1498.77</v>
      </c>
      <c r="D33" s="50" t="s">
        <v>72</v>
      </c>
      <c r="E33" s="52">
        <f t="shared" si="0"/>
        <v>899.26199999999994</v>
      </c>
      <c r="F33" s="57">
        <f t="shared" si="1"/>
        <v>2472.9704999999999</v>
      </c>
    </row>
  </sheetData>
  <mergeCells count="9">
    <mergeCell ref="A3:E3"/>
    <mergeCell ref="A8:E8"/>
    <mergeCell ref="A19:E19"/>
    <mergeCell ref="A29:E29"/>
    <mergeCell ref="F1:F2"/>
    <mergeCell ref="A1:A2"/>
    <mergeCell ref="B1:B2"/>
    <mergeCell ref="C1:D1"/>
    <mergeCell ref="E1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Стеллажная</vt:lpstr>
      <vt:lpstr>Прайс</vt:lpstr>
      <vt:lpstr>Стеллажная!Область_печати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2025-01-10T13:10:00Z</dcterms:modified>
</cp:coreProperties>
</file>